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00" windowHeight="7740" firstSheet="10" activeTab="11"/>
  </bookViews>
  <sheets>
    <sheet name="TP" sheetId="10" state="hidden" r:id="rId1"/>
    <sheet name="DB" sheetId="9" state="hidden" r:id="rId2"/>
    <sheet name="DBD" sheetId="8" state="hidden" r:id="rId3"/>
    <sheet name="TX" sheetId="1" state="hidden" r:id="rId4"/>
    <sheet name="MC" sheetId="7" state="hidden" r:id="rId5"/>
    <sheet name="MN" sheetId="6" state="hidden" r:id="rId6"/>
    <sheet name="MA" sheetId="5" state="hidden" r:id="rId7"/>
    <sheet name="TG" sheetId="4" state="hidden" r:id="rId8"/>
    <sheet name="TC" sheetId="2" state="hidden" r:id="rId9"/>
    <sheet name="TINH" sheetId="3" state="hidden" r:id="rId10"/>
    <sheet name="TIỂU HỌC" sheetId="26" r:id="rId11"/>
    <sheet name="MẦM NON" sheetId="28" r:id="rId12"/>
    <sheet name="KP" sheetId="21" state="hidden" r:id="rId13"/>
    <sheet name="Mam non" sheetId="13" state="hidden" r:id="rId14"/>
    <sheet name="Tieu hoc" sheetId="14" state="hidden" r:id="rId15"/>
    <sheet name="THCS" sheetId="15" state="hidden" r:id="rId16"/>
    <sheet name="THPT" sheetId="16" state="hidden" r:id="rId17"/>
    <sheet name="Trung tam" sheetId="18" state="hidden" r:id="rId18"/>
    <sheet name="CĐ" sheetId="20" state="hidden" r:id="rId19"/>
    <sheet name="Danh sach truong moi" sheetId="17" state="hidden" r:id="rId20"/>
    <sheet name="Tam" sheetId="19" state="hidden" r:id="rId21"/>
    <sheet name="IN" sheetId="12" state="hidden" r:id="rId22"/>
  </sheets>
  <externalReferences>
    <externalReference r:id="rId23"/>
  </externalReferences>
  <definedNames>
    <definedName name="_CT250">'[1]dongia (2)'!#REF!</definedName>
    <definedName name="_Order1" hidden="1">255</definedName>
    <definedName name="_Order2" hidden="1">255</definedName>
    <definedName name="CLVC3">0.1</definedName>
    <definedName name="Document_array" localSheetId="11">{"Book1"}</definedName>
    <definedName name="Document_array">{"Book1"}</definedName>
    <definedName name="h" localSheetId="11" hidden="1">{"'Sheet1'!$L$16"}</definedName>
    <definedName name="h" hidden="1">{"'Sheet1'!$L$16"}</definedName>
    <definedName name="Heä_soá_laép_xaø_H">1.7</definedName>
    <definedName name="HSCT3">0.1</definedName>
    <definedName name="HSDN">2.5</definedName>
    <definedName name="HTML_CodePage" hidden="1">950</definedName>
    <definedName name="HTML_Control" localSheetId="11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Title" hidden="1">"00Q3961-SUM"</definedName>
    <definedName name="huy" localSheetId="11" hidden="1">{"'Sheet1'!$L$16"}</definedName>
    <definedName name="huy" hidden="1">{"'Sheet1'!$L$16"}</definedName>
    <definedName name="_xlnm.Print_Area" localSheetId="13">'Mam non'!$A$1:$T$83</definedName>
    <definedName name="_xlnm.Print_Area" localSheetId="15">THCS!$A$1:$T$86</definedName>
    <definedName name="_xlnm.Print_Area" localSheetId="14">'Tieu hoc'!$A$1:$T$87</definedName>
    <definedName name="_xlnm.Print_Area" localSheetId="17">'Trung tam'!$A$1:$T$76</definedName>
    <definedName name="_xlnm.Print_Area">#REF!</definedName>
    <definedName name="_xlnm.Print_Titles" localSheetId="19">'Danh sach truong moi'!$3:$4</definedName>
    <definedName name="_xlnm.Print_Titles" localSheetId="13">'Mam non'!$2:$3</definedName>
    <definedName name="_xlnm.Print_Titles" localSheetId="15">THCS!$2:$3</definedName>
    <definedName name="_xlnm.Print_Titles" localSheetId="16">THPT!$3:$4</definedName>
    <definedName name="_xlnm.Print_Titles" localSheetId="14">'Tieu hoc'!$2:$3</definedName>
    <definedName name="_xlnm.Print_Titles" localSheetId="17">'Trung tam'!$2:$3</definedName>
    <definedName name="_xlnm.Print_Titles">#REF!</definedName>
    <definedName name="XCCT">0.5</definedName>
  </definedNames>
  <calcPr calcId="144525"/>
</workbook>
</file>

<file path=xl/calcChain.xml><?xml version="1.0" encoding="utf-8"?>
<calcChain xmlns="http://schemas.openxmlformats.org/spreadsheetml/2006/main">
  <c r="D35" i="28" l="1"/>
  <c r="D37" i="28"/>
  <c r="D10" i="28"/>
  <c r="F26" i="28" l="1"/>
  <c r="G26" i="28"/>
  <c r="H26" i="28"/>
  <c r="I26" i="28"/>
  <c r="J26" i="28"/>
  <c r="K26" i="28"/>
  <c r="L26" i="28"/>
  <c r="M26" i="28"/>
  <c r="N26" i="28"/>
  <c r="O26" i="28"/>
  <c r="P26" i="28"/>
  <c r="E26" i="28"/>
  <c r="F34" i="28"/>
  <c r="G34" i="28"/>
  <c r="H34" i="28"/>
  <c r="I34" i="28"/>
  <c r="J34" i="28"/>
  <c r="K34" i="28"/>
  <c r="L34" i="28"/>
  <c r="M34" i="28"/>
  <c r="N34" i="28"/>
  <c r="O34" i="28"/>
  <c r="P34" i="28"/>
  <c r="E34" i="28"/>
  <c r="D40" i="28"/>
  <c r="D42" i="28"/>
  <c r="D39" i="28"/>
  <c r="D34" i="28" s="1"/>
  <c r="E24" i="28" l="1"/>
  <c r="P24" i="28"/>
  <c r="O24" i="28"/>
  <c r="N24" i="28"/>
  <c r="M24" i="28"/>
  <c r="L24" i="28"/>
  <c r="K24" i="28"/>
  <c r="J24" i="28"/>
  <c r="I24" i="28"/>
  <c r="H24" i="28"/>
  <c r="G24" i="28"/>
  <c r="F24" i="28"/>
  <c r="D27" i="28"/>
  <c r="D28" i="28"/>
  <c r="D29" i="28"/>
  <c r="D30" i="28"/>
  <c r="D31" i="28"/>
  <c r="D32" i="28"/>
  <c r="D33" i="28"/>
  <c r="D25" i="28"/>
  <c r="D14" i="28"/>
  <c r="D26" i="28" l="1"/>
  <c r="D24" i="28" s="1"/>
  <c r="D21" i="28"/>
  <c r="D20" i="28"/>
  <c r="D18" i="28"/>
  <c r="D17" i="28"/>
  <c r="D16" i="28"/>
  <c r="D13" i="28"/>
  <c r="D12" i="28"/>
  <c r="D11" i="28"/>
  <c r="D9" i="28"/>
  <c r="D8" i="28"/>
  <c r="D6" i="28"/>
  <c r="E31" i="26"/>
  <c r="F31" i="26"/>
  <c r="G31" i="26"/>
  <c r="H31" i="26"/>
  <c r="I31" i="26"/>
  <c r="J31" i="26"/>
  <c r="K31" i="26"/>
  <c r="M31" i="26"/>
  <c r="O31" i="26"/>
  <c r="Q31" i="26"/>
  <c r="R31" i="26"/>
  <c r="S31" i="26"/>
  <c r="T31" i="26"/>
  <c r="U31" i="26"/>
  <c r="V31" i="26"/>
  <c r="F25" i="26"/>
  <c r="F23" i="26"/>
  <c r="G25" i="26"/>
  <c r="G23" i="26"/>
  <c r="H25" i="26"/>
  <c r="H23" i="26"/>
  <c r="I25" i="26"/>
  <c r="I23" i="26"/>
  <c r="J25" i="26"/>
  <c r="J23" i="26"/>
  <c r="K25" i="26"/>
  <c r="K23" i="26"/>
  <c r="L25" i="26"/>
  <c r="M25" i="26"/>
  <c r="M23" i="26" s="1"/>
  <c r="P25" i="26"/>
  <c r="Q25" i="26"/>
  <c r="Q23" i="26"/>
  <c r="U25" i="26"/>
  <c r="U23" i="26"/>
  <c r="V25" i="26"/>
  <c r="V23" i="26"/>
  <c r="P34" i="26"/>
  <c r="P31" i="26"/>
  <c r="N34" i="26"/>
  <c r="N31" i="26"/>
  <c r="L34" i="26"/>
  <c r="L31" i="26"/>
  <c r="D33" i="26"/>
  <c r="E29" i="26"/>
  <c r="D29" i="26" s="1"/>
  <c r="T28" i="26"/>
  <c r="T25" i="26" s="1"/>
  <c r="T23" i="26" s="1"/>
  <c r="S28" i="26"/>
  <c r="S25" i="26"/>
  <c r="S23" i="26" s="1"/>
  <c r="R28" i="26"/>
  <c r="R25" i="26" s="1"/>
  <c r="R23" i="26" s="1"/>
  <c r="O28" i="26"/>
  <c r="O25" i="26"/>
  <c r="O23" i="26" s="1"/>
  <c r="E28" i="26"/>
  <c r="D28" i="26" s="1"/>
  <c r="N26" i="26"/>
  <c r="N25" i="26"/>
  <c r="E26" i="26"/>
  <c r="E25" i="26"/>
  <c r="E23" i="26" s="1"/>
  <c r="D20" i="26"/>
  <c r="D37" i="26"/>
  <c r="D35" i="26"/>
  <c r="D34" i="26"/>
  <c r="D31" i="26"/>
  <c r="D32" i="26"/>
  <c r="D30" i="26"/>
  <c r="D27" i="26"/>
  <c r="D24" i="26"/>
  <c r="D18" i="26"/>
  <c r="D17" i="26"/>
  <c r="D16" i="26"/>
  <c r="D15" i="26"/>
  <c r="D10" i="26"/>
  <c r="D11" i="26"/>
  <c r="D12" i="26"/>
  <c r="D13" i="26"/>
  <c r="D9" i="26"/>
  <c r="J101" i="21"/>
  <c r="J100" i="21"/>
  <c r="J99" i="21"/>
  <c r="J98" i="21"/>
  <c r="K101" i="21"/>
  <c r="L101" i="21"/>
  <c r="M101" i="21"/>
  <c r="N101" i="21"/>
  <c r="O101" i="21"/>
  <c r="P101" i="21"/>
  <c r="Q101" i="21"/>
  <c r="R101" i="21"/>
  <c r="S101" i="21"/>
  <c r="T101" i="21"/>
  <c r="K100" i="21"/>
  <c r="L100" i="21"/>
  <c r="M100" i="21"/>
  <c r="N100" i="21"/>
  <c r="O100" i="21"/>
  <c r="P100" i="21"/>
  <c r="Q100" i="21"/>
  <c r="R100" i="21"/>
  <c r="S100" i="21"/>
  <c r="T100" i="21"/>
  <c r="K99" i="21"/>
  <c r="L99" i="21"/>
  <c r="M99" i="21"/>
  <c r="N99" i="21"/>
  <c r="O99" i="21"/>
  <c r="P99" i="21"/>
  <c r="Q99" i="21"/>
  <c r="R99" i="21"/>
  <c r="S99" i="21"/>
  <c r="T99" i="21"/>
  <c r="K98" i="21"/>
  <c r="K102" i="21" s="1"/>
  <c r="L98" i="21"/>
  <c r="L102" i="21" s="1"/>
  <c r="M98" i="21"/>
  <c r="N98" i="21"/>
  <c r="N102" i="21"/>
  <c r="O98" i="21"/>
  <c r="P98" i="21"/>
  <c r="P102" i="21" s="1"/>
  <c r="Q98" i="21"/>
  <c r="R98" i="21"/>
  <c r="S98" i="21"/>
  <c r="S102" i="21"/>
  <c r="T98" i="21"/>
  <c r="D146" i="17"/>
  <c r="N81" i="21"/>
  <c r="S7" i="16"/>
  <c r="AO5" i="16" s="1"/>
  <c r="N7" i="16"/>
  <c r="AN5" i="16" s="1"/>
  <c r="M88" i="21"/>
  <c r="K81" i="21"/>
  <c r="L81" i="21"/>
  <c r="M81" i="21"/>
  <c r="O81" i="21"/>
  <c r="P81" i="21"/>
  <c r="Q81" i="21"/>
  <c r="R81" i="21"/>
  <c r="S81" i="21"/>
  <c r="T81" i="21"/>
  <c r="J81" i="21"/>
  <c r="D95" i="16"/>
  <c r="E95" i="16"/>
  <c r="G95" i="16"/>
  <c r="F95" i="16"/>
  <c r="H89" i="16"/>
  <c r="H90" i="16"/>
  <c r="H95" i="16" s="1"/>
  <c r="I98" i="16"/>
  <c r="I89" i="16"/>
  <c r="I90" i="16"/>
  <c r="I95" i="16" s="1"/>
  <c r="I99" i="16" s="1"/>
  <c r="J99" i="16" s="1"/>
  <c r="K99" i="16" s="1"/>
  <c r="AP5" i="16"/>
  <c r="AN4" i="15"/>
  <c r="AM4" i="15"/>
  <c r="AL4" i="15"/>
  <c r="AL4" i="14"/>
  <c r="AK4" i="14"/>
  <c r="AJ4" i="14"/>
  <c r="AB4" i="13"/>
  <c r="AA4" i="13"/>
  <c r="Z4" i="13"/>
  <c r="K13" i="16"/>
  <c r="T16" i="21"/>
  <c r="W16" i="21" s="1"/>
  <c r="D81" i="16"/>
  <c r="E79" i="16"/>
  <c r="E80" i="16"/>
  <c r="E83" i="16" s="1"/>
  <c r="D79" i="16"/>
  <c r="D80" i="16" s="1"/>
  <c r="F79" i="16"/>
  <c r="F80" i="16" s="1"/>
  <c r="G79" i="16"/>
  <c r="G80" i="16" s="1"/>
  <c r="H79" i="16"/>
  <c r="H80" i="16" s="1"/>
  <c r="I79" i="16"/>
  <c r="I80" i="16" s="1"/>
  <c r="O24" i="16"/>
  <c r="O65" i="16" s="1"/>
  <c r="N24" i="16"/>
  <c r="N65" i="16" s="1"/>
  <c r="N66" i="16" s="1"/>
  <c r="J68" i="16"/>
  <c r="K68" i="16"/>
  <c r="K103" i="16" s="1"/>
  <c r="J72" i="16"/>
  <c r="K72" i="16" s="1"/>
  <c r="K128" i="16" s="1"/>
  <c r="N74" i="16"/>
  <c r="N75" i="16"/>
  <c r="N76" i="16" s="1"/>
  <c r="J78" i="16"/>
  <c r="O79" i="16"/>
  <c r="O80" i="16"/>
  <c r="N79" i="16"/>
  <c r="N80" i="16"/>
  <c r="P24" i="16"/>
  <c r="P65" i="16"/>
  <c r="P66" i="16" s="1"/>
  <c r="P79" i="16"/>
  <c r="P80" i="16" s="1"/>
  <c r="Q24" i="16"/>
  <c r="Q65" i="16" s="1"/>
  <c r="Q79" i="16"/>
  <c r="Q80" i="16" s="1"/>
  <c r="R24" i="16"/>
  <c r="R65" i="16" s="1"/>
  <c r="R66" i="16" s="1"/>
  <c r="R70" i="16"/>
  <c r="R109" i="16"/>
  <c r="R79" i="16"/>
  <c r="R80" i="16"/>
  <c r="S24" i="16"/>
  <c r="S65" i="16"/>
  <c r="S66" i="16" s="1"/>
  <c r="S74" i="16"/>
  <c r="S79" i="16"/>
  <c r="S80" i="16"/>
  <c r="J66" i="16"/>
  <c r="J70" i="16"/>
  <c r="K70" i="16" s="1"/>
  <c r="J74" i="16"/>
  <c r="J76" i="16"/>
  <c r="J79" i="16"/>
  <c r="J80" i="16" s="1"/>
  <c r="K24" i="16"/>
  <c r="K79" i="16"/>
  <c r="K80" i="16"/>
  <c r="L24" i="16"/>
  <c r="L79" i="16"/>
  <c r="L80" i="16" s="1"/>
  <c r="M24" i="16"/>
  <c r="M65" i="16" s="1"/>
  <c r="M66" i="16" s="1"/>
  <c r="M79" i="16"/>
  <c r="M80" i="16"/>
  <c r="T24" i="16"/>
  <c r="T68" i="16"/>
  <c r="T69" i="16" s="1"/>
  <c r="T70" i="16"/>
  <c r="T109" i="16" s="1"/>
  <c r="T72" i="16"/>
  <c r="T74" i="16"/>
  <c r="T105" i="16"/>
  <c r="N77" i="16"/>
  <c r="O77" i="16"/>
  <c r="P77" i="16" s="1"/>
  <c r="Q77" i="16" s="1"/>
  <c r="R77" i="16" s="1"/>
  <c r="S77" i="16" s="1"/>
  <c r="T77" i="16" s="1"/>
  <c r="T78" i="16" s="1"/>
  <c r="T79" i="16"/>
  <c r="T80" i="16"/>
  <c r="T108" i="16" s="1"/>
  <c r="D4" i="19"/>
  <c r="E4" i="19"/>
  <c r="F4" i="19"/>
  <c r="G4" i="19"/>
  <c r="H4" i="19"/>
  <c r="I4" i="19"/>
  <c r="P4" i="19"/>
  <c r="Q4" i="19"/>
  <c r="R4" i="19"/>
  <c r="S4" i="19"/>
  <c r="T4" i="19"/>
  <c r="K4" i="19"/>
  <c r="L4" i="19"/>
  <c r="M4" i="19"/>
  <c r="N4" i="19"/>
  <c r="O4" i="19"/>
  <c r="U4" i="19"/>
  <c r="U8" i="19"/>
  <c r="D5" i="19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J63" i="17"/>
  <c r="N63" i="17"/>
  <c r="N64" i="17"/>
  <c r="N65" i="17" s="1"/>
  <c r="N66" i="17" s="1"/>
  <c r="N67" i="17" s="1"/>
  <c r="N68" i="17" s="1"/>
  <c r="N69" i="17" s="1"/>
  <c r="N70" i="17" s="1"/>
  <c r="N71" i="17" s="1"/>
  <c r="N72" i="17" s="1"/>
  <c r="N73" i="17" s="1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3" i="17"/>
  <c r="G124" i="17"/>
  <c r="E126" i="17"/>
  <c r="G126" i="17" s="1"/>
  <c r="G127" i="17"/>
  <c r="G128" i="17"/>
  <c r="G130" i="17"/>
  <c r="G131" i="17"/>
  <c r="G132" i="17"/>
  <c r="E134" i="17"/>
  <c r="G134" i="17"/>
  <c r="G135" i="17"/>
  <c r="G136" i="17"/>
  <c r="G139" i="17"/>
  <c r="G140" i="17"/>
  <c r="G141" i="17"/>
  <c r="G142" i="17"/>
  <c r="G143" i="17"/>
  <c r="D125" i="17"/>
  <c r="D129" i="17"/>
  <c r="D137" i="17"/>
  <c r="D133" i="17"/>
  <c r="D148" i="17"/>
  <c r="D149" i="17"/>
  <c r="D150" i="17"/>
  <c r="D151" i="17"/>
  <c r="D152" i="17"/>
  <c r="D153" i="17"/>
  <c r="D7" i="20"/>
  <c r="E7" i="20"/>
  <c r="F7" i="20"/>
  <c r="G7" i="20"/>
  <c r="H7" i="20"/>
  <c r="I7" i="20"/>
  <c r="J7" i="20"/>
  <c r="K7" i="20"/>
  <c r="L7" i="20"/>
  <c r="M7" i="20"/>
  <c r="N7" i="20"/>
  <c r="O7" i="20"/>
  <c r="P7" i="20"/>
  <c r="Q7" i="20"/>
  <c r="R7" i="20"/>
  <c r="S7" i="20"/>
  <c r="T7" i="20"/>
  <c r="D13" i="20"/>
  <c r="E13" i="20"/>
  <c r="F13" i="20"/>
  <c r="G13" i="20"/>
  <c r="H13" i="20"/>
  <c r="I13" i="20"/>
  <c r="K13" i="20"/>
  <c r="L13" i="20"/>
  <c r="M13" i="20"/>
  <c r="N13" i="20"/>
  <c r="O13" i="20"/>
  <c r="P13" i="20"/>
  <c r="Q13" i="20"/>
  <c r="R13" i="20"/>
  <c r="S13" i="20"/>
  <c r="T13" i="20"/>
  <c r="D14" i="20"/>
  <c r="E14" i="20"/>
  <c r="F14" i="20"/>
  <c r="G14" i="20"/>
  <c r="H14" i="20"/>
  <c r="I14" i="20"/>
  <c r="J14" i="20"/>
  <c r="K14" i="20"/>
  <c r="L14" i="20"/>
  <c r="M14" i="20"/>
  <c r="N14" i="20"/>
  <c r="O14" i="20"/>
  <c r="P14" i="20"/>
  <c r="Q14" i="20"/>
  <c r="R14" i="20"/>
  <c r="S14" i="20"/>
  <c r="T14" i="20"/>
  <c r="D15" i="20"/>
  <c r="E15" i="20"/>
  <c r="F15" i="20"/>
  <c r="G15" i="20"/>
  <c r="H15" i="20"/>
  <c r="I15" i="20"/>
  <c r="M15" i="20"/>
  <c r="N15" i="20"/>
  <c r="O15" i="20"/>
  <c r="P15" i="20"/>
  <c r="Q15" i="20"/>
  <c r="R15" i="20"/>
  <c r="S15" i="20"/>
  <c r="T15" i="20"/>
  <c r="D16" i="20"/>
  <c r="E16" i="20"/>
  <c r="F16" i="20"/>
  <c r="G16" i="20"/>
  <c r="H16" i="20"/>
  <c r="I16" i="20"/>
  <c r="L16" i="20"/>
  <c r="M16" i="20"/>
  <c r="N16" i="20"/>
  <c r="O16" i="20"/>
  <c r="P16" i="20"/>
  <c r="Q16" i="20"/>
  <c r="R16" i="20"/>
  <c r="S16" i="20"/>
  <c r="T16" i="20"/>
  <c r="D17" i="20"/>
  <c r="E17" i="20"/>
  <c r="F17" i="20"/>
  <c r="G17" i="20"/>
  <c r="H17" i="20"/>
  <c r="I17" i="20"/>
  <c r="J17" i="20"/>
  <c r="K17" i="20"/>
  <c r="L17" i="20"/>
  <c r="M17" i="20"/>
  <c r="N17" i="20"/>
  <c r="O17" i="20"/>
  <c r="P17" i="20"/>
  <c r="Q17" i="20"/>
  <c r="R17" i="20"/>
  <c r="S17" i="20"/>
  <c r="T17" i="20"/>
  <c r="J18" i="20"/>
  <c r="K18" i="20"/>
  <c r="L18" i="20"/>
  <c r="M18" i="20"/>
  <c r="N18" i="20"/>
  <c r="O18" i="20"/>
  <c r="P18" i="20"/>
  <c r="Q18" i="20"/>
  <c r="R18" i="20"/>
  <c r="S18" i="20"/>
  <c r="T18" i="20"/>
  <c r="J19" i="20"/>
  <c r="K19" i="20"/>
  <c r="L19" i="20"/>
  <c r="M19" i="20"/>
  <c r="N19" i="20"/>
  <c r="O19" i="20"/>
  <c r="P19" i="20"/>
  <c r="Q19" i="20"/>
  <c r="R19" i="20"/>
  <c r="S19" i="20"/>
  <c r="T19" i="20"/>
  <c r="D20" i="20"/>
  <c r="E20" i="20"/>
  <c r="F20" i="20"/>
  <c r="G20" i="20"/>
  <c r="H20" i="20"/>
  <c r="I20" i="20"/>
  <c r="J20" i="20"/>
  <c r="K20" i="20"/>
  <c r="L20" i="20"/>
  <c r="M20" i="20"/>
  <c r="N20" i="20"/>
  <c r="O20" i="20"/>
  <c r="P20" i="20"/>
  <c r="Q20" i="20"/>
  <c r="R20" i="20"/>
  <c r="S20" i="20"/>
  <c r="T20" i="20"/>
  <c r="D21" i="20"/>
  <c r="E21" i="20"/>
  <c r="F21" i="20"/>
  <c r="G21" i="20"/>
  <c r="H21" i="20"/>
  <c r="I21" i="20"/>
  <c r="J21" i="20"/>
  <c r="K21" i="20"/>
  <c r="L21" i="20"/>
  <c r="M21" i="20"/>
  <c r="N21" i="20"/>
  <c r="O21" i="20"/>
  <c r="P21" i="20"/>
  <c r="Q21" i="20"/>
  <c r="R21" i="20"/>
  <c r="S21" i="20"/>
  <c r="T21" i="20"/>
  <c r="D22" i="20"/>
  <c r="E22" i="20"/>
  <c r="F22" i="20"/>
  <c r="G22" i="20"/>
  <c r="H22" i="20"/>
  <c r="I22" i="20"/>
  <c r="J22" i="20"/>
  <c r="K22" i="20"/>
  <c r="L22" i="20"/>
  <c r="M22" i="20"/>
  <c r="N22" i="20"/>
  <c r="O22" i="20"/>
  <c r="P22" i="20"/>
  <c r="Q22" i="20"/>
  <c r="R22" i="20"/>
  <c r="S22" i="20"/>
  <c r="T22" i="20"/>
  <c r="D26" i="20"/>
  <c r="E26" i="20"/>
  <c r="F26" i="20"/>
  <c r="G26" i="20"/>
  <c r="H26" i="20"/>
  <c r="I26" i="20"/>
  <c r="J26" i="20"/>
  <c r="K26" i="20"/>
  <c r="L26" i="20"/>
  <c r="M26" i="20"/>
  <c r="N26" i="20"/>
  <c r="O26" i="20"/>
  <c r="P26" i="20"/>
  <c r="Q26" i="20"/>
  <c r="R26" i="20"/>
  <c r="S26" i="20"/>
  <c r="T26" i="20"/>
  <c r="D27" i="20"/>
  <c r="E27" i="20"/>
  <c r="F27" i="20"/>
  <c r="G27" i="20"/>
  <c r="H27" i="20"/>
  <c r="I27" i="20"/>
  <c r="J27" i="20"/>
  <c r="K27" i="20"/>
  <c r="L27" i="20"/>
  <c r="M27" i="20"/>
  <c r="N27" i="20"/>
  <c r="O27" i="20"/>
  <c r="P27" i="20"/>
  <c r="Q27" i="20"/>
  <c r="R27" i="20"/>
  <c r="S27" i="20"/>
  <c r="T27" i="20"/>
  <c r="D28" i="20"/>
  <c r="E28" i="20"/>
  <c r="F28" i="20"/>
  <c r="G28" i="20"/>
  <c r="H28" i="20"/>
  <c r="I28" i="20"/>
  <c r="J28" i="20"/>
  <c r="K28" i="20"/>
  <c r="L28" i="20"/>
  <c r="M28" i="20"/>
  <c r="N28" i="20"/>
  <c r="O28" i="20"/>
  <c r="P28" i="20"/>
  <c r="Q28" i="20"/>
  <c r="R28" i="20"/>
  <c r="S28" i="20"/>
  <c r="T28" i="20"/>
  <c r="D29" i="20"/>
  <c r="E29" i="20"/>
  <c r="F29" i="20"/>
  <c r="G29" i="20"/>
  <c r="H29" i="20"/>
  <c r="I29" i="20"/>
  <c r="J29" i="20"/>
  <c r="K29" i="20"/>
  <c r="L29" i="20"/>
  <c r="M29" i="20"/>
  <c r="N29" i="20"/>
  <c r="O29" i="20"/>
  <c r="P29" i="20"/>
  <c r="Q29" i="20"/>
  <c r="R29" i="20"/>
  <c r="S29" i="20"/>
  <c r="T29" i="20"/>
  <c r="D32" i="20"/>
  <c r="E32" i="20"/>
  <c r="F32" i="20"/>
  <c r="G32" i="20"/>
  <c r="H32" i="20"/>
  <c r="I32" i="20"/>
  <c r="J32" i="20"/>
  <c r="K32" i="20"/>
  <c r="L32" i="20"/>
  <c r="M32" i="20"/>
  <c r="N32" i="20"/>
  <c r="O32" i="20"/>
  <c r="P32" i="20"/>
  <c r="Q32" i="20"/>
  <c r="R32" i="20"/>
  <c r="S32" i="20"/>
  <c r="T32" i="20"/>
  <c r="D33" i="20"/>
  <c r="E33" i="20"/>
  <c r="F33" i="20"/>
  <c r="G33" i="20"/>
  <c r="H33" i="20"/>
  <c r="I33" i="20"/>
  <c r="J33" i="20"/>
  <c r="K33" i="20"/>
  <c r="L33" i="20"/>
  <c r="M33" i="20"/>
  <c r="N33" i="20"/>
  <c r="O33" i="20"/>
  <c r="P33" i="20"/>
  <c r="Q33" i="20"/>
  <c r="R33" i="20"/>
  <c r="S33" i="20"/>
  <c r="T33" i="20"/>
  <c r="D34" i="20"/>
  <c r="E34" i="20"/>
  <c r="F34" i="20"/>
  <c r="G34" i="20"/>
  <c r="H34" i="20"/>
  <c r="I34" i="20"/>
  <c r="J34" i="20"/>
  <c r="K34" i="20"/>
  <c r="L34" i="20"/>
  <c r="M34" i="20"/>
  <c r="N34" i="20"/>
  <c r="O34" i="20"/>
  <c r="P34" i="20"/>
  <c r="Q34" i="20"/>
  <c r="R34" i="20"/>
  <c r="S34" i="20"/>
  <c r="T34" i="20"/>
  <c r="D35" i="20"/>
  <c r="E35" i="20"/>
  <c r="F35" i="20"/>
  <c r="G35" i="20"/>
  <c r="H35" i="20"/>
  <c r="I35" i="20"/>
  <c r="J35" i="20"/>
  <c r="K35" i="20"/>
  <c r="L35" i="20"/>
  <c r="M35" i="20"/>
  <c r="N35" i="20"/>
  <c r="O35" i="20"/>
  <c r="P35" i="20"/>
  <c r="Q35" i="20"/>
  <c r="R35" i="20"/>
  <c r="S35" i="20"/>
  <c r="T35" i="20"/>
  <c r="D36" i="20"/>
  <c r="E36" i="20"/>
  <c r="F36" i="20"/>
  <c r="G36" i="20"/>
  <c r="H36" i="20"/>
  <c r="I36" i="20"/>
  <c r="J36" i="20"/>
  <c r="K36" i="20"/>
  <c r="L36" i="20"/>
  <c r="M36" i="20"/>
  <c r="N36" i="20"/>
  <c r="O36" i="20"/>
  <c r="P36" i="20"/>
  <c r="Q36" i="20"/>
  <c r="R36" i="20"/>
  <c r="S36" i="20"/>
  <c r="T36" i="20"/>
  <c r="D37" i="20"/>
  <c r="E37" i="20"/>
  <c r="F37" i="20"/>
  <c r="G37" i="20"/>
  <c r="H37" i="20"/>
  <c r="I37" i="20"/>
  <c r="J37" i="20"/>
  <c r="K37" i="20"/>
  <c r="L37" i="20"/>
  <c r="M37" i="20"/>
  <c r="N37" i="20"/>
  <c r="O37" i="20"/>
  <c r="P37" i="20"/>
  <c r="Q37" i="20"/>
  <c r="R37" i="20"/>
  <c r="S37" i="20"/>
  <c r="T37" i="20"/>
  <c r="D93" i="20"/>
  <c r="E93" i="20"/>
  <c r="F93" i="20"/>
  <c r="G93" i="20"/>
  <c r="H93" i="20"/>
  <c r="I93" i="20"/>
  <c r="J93" i="20"/>
  <c r="K93" i="20"/>
  <c r="L93" i="20"/>
  <c r="M93" i="20"/>
  <c r="N93" i="20"/>
  <c r="O93" i="20"/>
  <c r="P93" i="20"/>
  <c r="Q93" i="20"/>
  <c r="R93" i="20"/>
  <c r="S93" i="20"/>
  <c r="T93" i="20"/>
  <c r="D94" i="20"/>
  <c r="E94" i="20"/>
  <c r="F94" i="20"/>
  <c r="G94" i="20"/>
  <c r="H94" i="20"/>
  <c r="I94" i="20"/>
  <c r="J94" i="20"/>
  <c r="K94" i="20"/>
  <c r="L94" i="20"/>
  <c r="M94" i="20"/>
  <c r="N94" i="20"/>
  <c r="O94" i="20"/>
  <c r="P94" i="20"/>
  <c r="Q94" i="20"/>
  <c r="R94" i="20"/>
  <c r="S94" i="20"/>
  <c r="T94" i="20"/>
  <c r="D95" i="20"/>
  <c r="E95" i="20"/>
  <c r="F95" i="20"/>
  <c r="G95" i="20"/>
  <c r="H95" i="20"/>
  <c r="I95" i="20"/>
  <c r="J95" i="20"/>
  <c r="K95" i="20"/>
  <c r="L95" i="20"/>
  <c r="M95" i="20"/>
  <c r="N95" i="20"/>
  <c r="O95" i="20"/>
  <c r="P95" i="20"/>
  <c r="Q95" i="20"/>
  <c r="R95" i="20"/>
  <c r="S95" i="20"/>
  <c r="T95" i="20"/>
  <c r="D96" i="20"/>
  <c r="E96" i="20"/>
  <c r="F96" i="20"/>
  <c r="G96" i="20"/>
  <c r="H96" i="20"/>
  <c r="I96" i="20"/>
  <c r="J96" i="20"/>
  <c r="K96" i="20"/>
  <c r="L96" i="20"/>
  <c r="M96" i="20"/>
  <c r="N96" i="20"/>
  <c r="O96" i="20"/>
  <c r="P96" i="20"/>
  <c r="Q96" i="20"/>
  <c r="R96" i="20"/>
  <c r="S96" i="20"/>
  <c r="T96" i="20"/>
  <c r="D97" i="20"/>
  <c r="E97" i="20"/>
  <c r="F97" i="20"/>
  <c r="G97" i="20"/>
  <c r="H97" i="20"/>
  <c r="I97" i="20"/>
  <c r="J97" i="20"/>
  <c r="K97" i="20"/>
  <c r="L97" i="20"/>
  <c r="M97" i="20"/>
  <c r="N97" i="20"/>
  <c r="O97" i="20"/>
  <c r="P97" i="20"/>
  <c r="Q97" i="20"/>
  <c r="R97" i="20"/>
  <c r="S97" i="20"/>
  <c r="T97" i="20"/>
  <c r="D98" i="20"/>
  <c r="E98" i="20"/>
  <c r="F98" i="20"/>
  <c r="G98" i="20"/>
  <c r="H98" i="20"/>
  <c r="I98" i="20"/>
  <c r="J98" i="20"/>
  <c r="K98" i="20"/>
  <c r="L98" i="20"/>
  <c r="M98" i="20"/>
  <c r="N98" i="20"/>
  <c r="O98" i="20"/>
  <c r="P98" i="20"/>
  <c r="Q98" i="20"/>
  <c r="R98" i="20"/>
  <c r="S98" i="20"/>
  <c r="T98" i="20"/>
  <c r="D101" i="20"/>
  <c r="E101" i="20"/>
  <c r="F101" i="20"/>
  <c r="G101" i="20"/>
  <c r="H101" i="20"/>
  <c r="I101" i="20"/>
  <c r="J101" i="20"/>
  <c r="K101" i="20"/>
  <c r="L101" i="20"/>
  <c r="M101" i="20"/>
  <c r="N101" i="20"/>
  <c r="O101" i="20"/>
  <c r="P101" i="20"/>
  <c r="Q101" i="20"/>
  <c r="R101" i="20"/>
  <c r="S101" i="20"/>
  <c r="T101" i="20"/>
  <c r="D102" i="20"/>
  <c r="E102" i="20"/>
  <c r="F102" i="20"/>
  <c r="G102" i="20"/>
  <c r="H102" i="20"/>
  <c r="I102" i="20"/>
  <c r="O102" i="20"/>
  <c r="P102" i="20"/>
  <c r="Q102" i="20"/>
  <c r="R102" i="20"/>
  <c r="S102" i="20"/>
  <c r="T102" i="20"/>
  <c r="D103" i="20"/>
  <c r="E103" i="20"/>
  <c r="F103" i="20"/>
  <c r="G103" i="20"/>
  <c r="H103" i="20"/>
  <c r="I103" i="20"/>
  <c r="J103" i="20"/>
  <c r="O103" i="20"/>
  <c r="P103" i="20"/>
  <c r="Q103" i="20"/>
  <c r="R103" i="20"/>
  <c r="S103" i="20"/>
  <c r="T103" i="20"/>
  <c r="D104" i="20"/>
  <c r="E104" i="20"/>
  <c r="F104" i="20"/>
  <c r="G104" i="20"/>
  <c r="H104" i="20"/>
  <c r="I104" i="20"/>
  <c r="J104" i="20"/>
  <c r="K104" i="20"/>
  <c r="L104" i="20"/>
  <c r="M104" i="20"/>
  <c r="N104" i="20"/>
  <c r="O104" i="20"/>
  <c r="P104" i="20"/>
  <c r="Q104" i="20"/>
  <c r="R104" i="20"/>
  <c r="S104" i="20"/>
  <c r="T104" i="20"/>
  <c r="D106" i="20"/>
  <c r="E106" i="20"/>
  <c r="F106" i="20"/>
  <c r="G106" i="20"/>
  <c r="H106" i="20"/>
  <c r="I106" i="20"/>
  <c r="J106" i="20"/>
  <c r="K106" i="20"/>
  <c r="L106" i="20"/>
  <c r="M106" i="20"/>
  <c r="N106" i="20"/>
  <c r="O106" i="20"/>
  <c r="P106" i="20"/>
  <c r="Q106" i="20"/>
  <c r="R106" i="20"/>
  <c r="S106" i="20"/>
  <c r="T106" i="20"/>
  <c r="D107" i="20"/>
  <c r="E107" i="20"/>
  <c r="F107" i="20"/>
  <c r="G107" i="20"/>
  <c r="H107" i="20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D108" i="20"/>
  <c r="E108" i="20"/>
  <c r="F108" i="20"/>
  <c r="G108" i="20"/>
  <c r="H108" i="20"/>
  <c r="I108" i="20"/>
  <c r="J108" i="20"/>
  <c r="K108" i="20"/>
  <c r="L108" i="20"/>
  <c r="M108" i="20"/>
  <c r="N108" i="20"/>
  <c r="O108" i="20"/>
  <c r="P108" i="20"/>
  <c r="Q108" i="20"/>
  <c r="R108" i="20"/>
  <c r="S108" i="20"/>
  <c r="T108" i="20"/>
  <c r="K109" i="20"/>
  <c r="L109" i="20"/>
  <c r="M109" i="20"/>
  <c r="N109" i="20"/>
  <c r="O109" i="20"/>
  <c r="P109" i="20"/>
  <c r="Q109" i="20"/>
  <c r="R109" i="20"/>
  <c r="S109" i="20"/>
  <c r="T109" i="20"/>
  <c r="D110" i="20"/>
  <c r="E110" i="20"/>
  <c r="F110" i="20"/>
  <c r="G110" i="20"/>
  <c r="H110" i="20"/>
  <c r="I110" i="20"/>
  <c r="J110" i="20"/>
  <c r="K110" i="20"/>
  <c r="L110" i="20"/>
  <c r="M110" i="20"/>
  <c r="N110" i="20"/>
  <c r="O110" i="20"/>
  <c r="P110" i="20"/>
  <c r="Q110" i="20"/>
  <c r="R110" i="20"/>
  <c r="S110" i="20"/>
  <c r="T110" i="20"/>
  <c r="D113" i="20"/>
  <c r="E113" i="20"/>
  <c r="F113" i="20"/>
  <c r="G113" i="20"/>
  <c r="H113" i="20"/>
  <c r="I113" i="20"/>
  <c r="J113" i="20"/>
  <c r="K113" i="20"/>
  <c r="L113" i="20"/>
  <c r="M113" i="20"/>
  <c r="N113" i="20"/>
  <c r="O113" i="20"/>
  <c r="P113" i="20"/>
  <c r="Q113" i="20"/>
  <c r="R113" i="20"/>
  <c r="S113" i="20"/>
  <c r="T113" i="20"/>
  <c r="D114" i="20"/>
  <c r="E114" i="20"/>
  <c r="F114" i="20"/>
  <c r="G114" i="20"/>
  <c r="H114" i="20"/>
  <c r="I114" i="20"/>
  <c r="J114" i="20"/>
  <c r="K114" i="20"/>
  <c r="L114" i="20"/>
  <c r="M114" i="20"/>
  <c r="N114" i="20"/>
  <c r="O114" i="20"/>
  <c r="P114" i="20"/>
  <c r="Q114" i="20"/>
  <c r="R114" i="20"/>
  <c r="S114" i="20"/>
  <c r="T114" i="20"/>
  <c r="D115" i="20"/>
  <c r="E115" i="20"/>
  <c r="F115" i="20"/>
  <c r="G115" i="20"/>
  <c r="H115" i="20"/>
  <c r="I115" i="20"/>
  <c r="J115" i="20"/>
  <c r="K115" i="20"/>
  <c r="L115" i="20"/>
  <c r="M115" i="20"/>
  <c r="N115" i="20"/>
  <c r="O115" i="20"/>
  <c r="P115" i="20"/>
  <c r="Q115" i="20"/>
  <c r="R115" i="20"/>
  <c r="S115" i="20"/>
  <c r="T115" i="20"/>
  <c r="D116" i="20"/>
  <c r="E116" i="20"/>
  <c r="F116" i="20"/>
  <c r="G116" i="20"/>
  <c r="H116" i="20"/>
  <c r="I116" i="20"/>
  <c r="J116" i="20"/>
  <c r="K116" i="20"/>
  <c r="L116" i="20"/>
  <c r="M116" i="20"/>
  <c r="N116" i="20"/>
  <c r="O116" i="20"/>
  <c r="P116" i="20"/>
  <c r="Q116" i="20"/>
  <c r="R116" i="20"/>
  <c r="S116" i="20"/>
  <c r="T116" i="20"/>
  <c r="D117" i="20"/>
  <c r="E117" i="20"/>
  <c r="F117" i="20"/>
  <c r="G117" i="20"/>
  <c r="H117" i="20"/>
  <c r="I117" i="20"/>
  <c r="J117" i="20"/>
  <c r="K117" i="20"/>
  <c r="L117" i="20"/>
  <c r="M117" i="20"/>
  <c r="N117" i="20"/>
  <c r="O117" i="20"/>
  <c r="P117" i="20"/>
  <c r="Q117" i="20"/>
  <c r="R117" i="20"/>
  <c r="S117" i="20"/>
  <c r="T117" i="20"/>
  <c r="D118" i="20"/>
  <c r="E118" i="20"/>
  <c r="F118" i="20"/>
  <c r="G118" i="20"/>
  <c r="H118" i="20"/>
  <c r="I118" i="20"/>
  <c r="J118" i="20"/>
  <c r="K118" i="20"/>
  <c r="L118" i="20"/>
  <c r="M118" i="20"/>
  <c r="N118" i="20"/>
  <c r="O118" i="20"/>
  <c r="P118" i="20"/>
  <c r="Q118" i="20"/>
  <c r="R118" i="20"/>
  <c r="S118" i="20"/>
  <c r="T118" i="20"/>
  <c r="D119" i="20"/>
  <c r="E119" i="20"/>
  <c r="F119" i="20"/>
  <c r="G119" i="20"/>
  <c r="H119" i="20"/>
  <c r="I119" i="20"/>
  <c r="J119" i="20"/>
  <c r="K119" i="20"/>
  <c r="L119" i="20"/>
  <c r="M119" i="20"/>
  <c r="N119" i="20"/>
  <c r="O119" i="20"/>
  <c r="P119" i="20"/>
  <c r="Q119" i="20"/>
  <c r="R119" i="20"/>
  <c r="S119" i="20"/>
  <c r="T119" i="20"/>
  <c r="D120" i="20"/>
  <c r="E120" i="20"/>
  <c r="F120" i="20"/>
  <c r="G120" i="20"/>
  <c r="H120" i="20"/>
  <c r="I120" i="20"/>
  <c r="O120" i="20"/>
  <c r="P120" i="20"/>
  <c r="Q120" i="20"/>
  <c r="R120" i="20"/>
  <c r="S120" i="20"/>
  <c r="T120" i="20"/>
  <c r="D121" i="20"/>
  <c r="E121" i="20"/>
  <c r="F121" i="20"/>
  <c r="G121" i="20"/>
  <c r="H121" i="20"/>
  <c r="I121" i="20"/>
  <c r="O121" i="20"/>
  <c r="P121" i="20"/>
  <c r="Q121" i="20"/>
  <c r="R121" i="20"/>
  <c r="S121" i="20"/>
  <c r="T121" i="20"/>
  <c r="D123" i="20"/>
  <c r="E123" i="20"/>
  <c r="F123" i="20"/>
  <c r="G123" i="20"/>
  <c r="H123" i="20"/>
  <c r="I123" i="20"/>
  <c r="J123" i="20"/>
  <c r="K123" i="20"/>
  <c r="L123" i="20"/>
  <c r="M123" i="20"/>
  <c r="N123" i="20"/>
  <c r="O123" i="20"/>
  <c r="P123" i="20"/>
  <c r="Q123" i="20"/>
  <c r="R123" i="20"/>
  <c r="S123" i="20"/>
  <c r="T123" i="20"/>
  <c r="D124" i="20"/>
  <c r="E124" i="20"/>
  <c r="F124" i="20"/>
  <c r="G124" i="20"/>
  <c r="H124" i="20"/>
  <c r="I124" i="20"/>
  <c r="J124" i="20"/>
  <c r="K124" i="20"/>
  <c r="L124" i="20"/>
  <c r="M124" i="20"/>
  <c r="N124" i="20"/>
  <c r="O124" i="20"/>
  <c r="P124" i="20"/>
  <c r="Q124" i="20"/>
  <c r="R124" i="20"/>
  <c r="S124" i="20"/>
  <c r="T124" i="20"/>
  <c r="D128" i="20"/>
  <c r="E128" i="20"/>
  <c r="F128" i="20"/>
  <c r="G128" i="20"/>
  <c r="H128" i="20"/>
  <c r="K128" i="20"/>
  <c r="L128" i="20"/>
  <c r="M128" i="20"/>
  <c r="N128" i="20"/>
  <c r="O128" i="20"/>
  <c r="P128" i="20"/>
  <c r="Q128" i="20"/>
  <c r="R128" i="20"/>
  <c r="S128" i="20"/>
  <c r="T128" i="20"/>
  <c r="J129" i="20"/>
  <c r="J13" i="20" s="1"/>
  <c r="D132" i="20"/>
  <c r="D19" i="20" s="1"/>
  <c r="E132" i="20"/>
  <c r="E19" i="20" s="1"/>
  <c r="F132" i="20"/>
  <c r="F19" i="20" s="1"/>
  <c r="G132" i="20"/>
  <c r="G19" i="20" s="1"/>
  <c r="H132" i="20"/>
  <c r="H19" i="20" s="1"/>
  <c r="I132" i="20"/>
  <c r="I19" i="20" s="1"/>
  <c r="D135" i="20"/>
  <c r="E135" i="20"/>
  <c r="F135" i="20"/>
  <c r="G135" i="20"/>
  <c r="H135" i="20"/>
  <c r="I135" i="20"/>
  <c r="J135" i="20"/>
  <c r="K135" i="20"/>
  <c r="L135" i="20"/>
  <c r="M135" i="20"/>
  <c r="N135" i="20"/>
  <c r="O135" i="20"/>
  <c r="P135" i="20"/>
  <c r="Q135" i="20"/>
  <c r="R135" i="20"/>
  <c r="S135" i="20"/>
  <c r="T135" i="20"/>
  <c r="D144" i="20"/>
  <c r="E144" i="20"/>
  <c r="F144" i="20"/>
  <c r="G144" i="20"/>
  <c r="H144" i="20"/>
  <c r="I144" i="20"/>
  <c r="J144" i="20"/>
  <c r="K144" i="20"/>
  <c r="L144" i="20"/>
  <c r="M144" i="20"/>
  <c r="N144" i="20"/>
  <c r="O144" i="20"/>
  <c r="P144" i="20"/>
  <c r="Q144" i="20"/>
  <c r="R144" i="20"/>
  <c r="S144" i="20"/>
  <c r="T144" i="20"/>
  <c r="D154" i="20"/>
  <c r="E154" i="20"/>
  <c r="E153" i="20"/>
  <c r="F154" i="20"/>
  <c r="G154" i="20"/>
  <c r="G153" i="20" s="1"/>
  <c r="H154" i="20"/>
  <c r="H153" i="20" s="1"/>
  <c r="I154" i="20"/>
  <c r="M154" i="20"/>
  <c r="M153" i="20"/>
  <c r="N154" i="20"/>
  <c r="N153" i="20"/>
  <c r="O154" i="20"/>
  <c r="O153" i="20"/>
  <c r="P154" i="20"/>
  <c r="P153" i="20"/>
  <c r="Q154" i="20"/>
  <c r="Q153" i="20"/>
  <c r="R154" i="20"/>
  <c r="S154" i="20"/>
  <c r="S153" i="20" s="1"/>
  <c r="T154" i="20"/>
  <c r="J155" i="20"/>
  <c r="J15" i="20"/>
  <c r="K155" i="20"/>
  <c r="J156" i="20"/>
  <c r="J16" i="20" s="1"/>
  <c r="D211" i="20"/>
  <c r="D99" i="20" s="1"/>
  <c r="E211" i="20"/>
  <c r="E99" i="20" s="1"/>
  <c r="F211" i="20"/>
  <c r="F99" i="20" s="1"/>
  <c r="G211" i="20"/>
  <c r="G99" i="20" s="1"/>
  <c r="H211" i="20"/>
  <c r="H99" i="20" s="1"/>
  <c r="I211" i="20"/>
  <c r="I99" i="20" s="1"/>
  <c r="J211" i="20"/>
  <c r="J99" i="20" s="1"/>
  <c r="K211" i="20"/>
  <c r="K99" i="20" s="1"/>
  <c r="L211" i="20"/>
  <c r="L99" i="20" s="1"/>
  <c r="M211" i="20"/>
  <c r="M99" i="20" s="1"/>
  <c r="N211" i="20"/>
  <c r="N99" i="20" s="1"/>
  <c r="O211" i="20"/>
  <c r="O99" i="20" s="1"/>
  <c r="P211" i="20"/>
  <c r="P99" i="20" s="1"/>
  <c r="Q211" i="20"/>
  <c r="Q99" i="20" s="1"/>
  <c r="R211" i="20"/>
  <c r="R99" i="20" s="1"/>
  <c r="S211" i="20"/>
  <c r="S99" i="20" s="1"/>
  <c r="T211" i="20"/>
  <c r="T99" i="20" s="1"/>
  <c r="D250" i="20"/>
  <c r="D249" i="20" s="1"/>
  <c r="E250" i="20"/>
  <c r="F250" i="20"/>
  <c r="G250" i="20"/>
  <c r="H250" i="20"/>
  <c r="I250" i="20"/>
  <c r="D256" i="20"/>
  <c r="E256" i="20"/>
  <c r="F256" i="20"/>
  <c r="G256" i="20"/>
  <c r="H256" i="20"/>
  <c r="H249" i="20"/>
  <c r="I256" i="20"/>
  <c r="J256" i="20"/>
  <c r="J249" i="20"/>
  <c r="K256" i="20"/>
  <c r="L256" i="20"/>
  <c r="L249" i="20" s="1"/>
  <c r="M256" i="20"/>
  <c r="N256" i="20"/>
  <c r="N249" i="20"/>
  <c r="O256" i="20"/>
  <c r="O249" i="20"/>
  <c r="P256" i="20"/>
  <c r="P249" i="20"/>
  <c r="Q256" i="20"/>
  <c r="Q249" i="20"/>
  <c r="R256" i="20"/>
  <c r="R249" i="20"/>
  <c r="S256" i="20"/>
  <c r="S249" i="20"/>
  <c r="T256" i="20"/>
  <c r="T249" i="20"/>
  <c r="D279" i="20"/>
  <c r="E279" i="20"/>
  <c r="F279" i="20"/>
  <c r="G279" i="20"/>
  <c r="H279" i="20"/>
  <c r="I279" i="20"/>
  <c r="J279" i="20"/>
  <c r="J24" i="20"/>
  <c r="K279" i="20"/>
  <c r="K24" i="20"/>
  <c r="L279" i="20"/>
  <c r="L24" i="20"/>
  <c r="M279" i="20"/>
  <c r="N279" i="20"/>
  <c r="O279" i="20"/>
  <c r="P279" i="20"/>
  <c r="P24" i="20" s="1"/>
  <c r="Q279" i="20"/>
  <c r="Q24" i="20" s="1"/>
  <c r="R279" i="20"/>
  <c r="R24" i="20" s="1"/>
  <c r="S279" i="20"/>
  <c r="S24" i="20" s="1"/>
  <c r="T279" i="20"/>
  <c r="T24" i="20" s="1"/>
  <c r="D284" i="20"/>
  <c r="E284" i="20"/>
  <c r="F284" i="20"/>
  <c r="G284" i="20"/>
  <c r="H284" i="20"/>
  <c r="I284" i="20"/>
  <c r="I30" i="20" s="1"/>
  <c r="J284" i="20"/>
  <c r="K284" i="20"/>
  <c r="L284" i="20"/>
  <c r="M284" i="20"/>
  <c r="N284" i="20"/>
  <c r="N31" i="20" s="1"/>
  <c r="O284" i="20"/>
  <c r="O31" i="20" s="1"/>
  <c r="P284" i="20"/>
  <c r="Q284" i="20"/>
  <c r="R284" i="20"/>
  <c r="S284" i="20"/>
  <c r="T284" i="20"/>
  <c r="D291" i="20"/>
  <c r="E291" i="20"/>
  <c r="F291" i="20"/>
  <c r="G291" i="20"/>
  <c r="H291" i="20"/>
  <c r="I291" i="20"/>
  <c r="J291" i="20"/>
  <c r="K291" i="20"/>
  <c r="L291" i="20"/>
  <c r="M291" i="20"/>
  <c r="N291" i="20"/>
  <c r="O291" i="20"/>
  <c r="P291" i="20"/>
  <c r="Q291" i="20"/>
  <c r="R291" i="20"/>
  <c r="S291" i="20"/>
  <c r="T291" i="20"/>
  <c r="D302" i="20"/>
  <c r="D91" i="20" s="1"/>
  <c r="E302" i="20"/>
  <c r="E91" i="20" s="1"/>
  <c r="F302" i="20"/>
  <c r="F91" i="20" s="1"/>
  <c r="G302" i="20"/>
  <c r="G91" i="20" s="1"/>
  <c r="H302" i="20"/>
  <c r="H91" i="20" s="1"/>
  <c r="I302" i="20"/>
  <c r="I91" i="20" s="1"/>
  <c r="J302" i="20"/>
  <c r="J91" i="20" s="1"/>
  <c r="K302" i="20"/>
  <c r="L302" i="20"/>
  <c r="L91" i="20"/>
  <c r="M302" i="20"/>
  <c r="M91" i="20"/>
  <c r="N302" i="20"/>
  <c r="N91" i="20"/>
  <c r="O302" i="20"/>
  <c r="O91" i="20"/>
  <c r="P302" i="20"/>
  <c r="P91" i="20"/>
  <c r="Q302" i="20"/>
  <c r="Q91" i="20"/>
  <c r="R302" i="20"/>
  <c r="R91" i="20"/>
  <c r="S302" i="20"/>
  <c r="S91" i="20"/>
  <c r="T302" i="20"/>
  <c r="T91" i="20"/>
  <c r="J313" i="20"/>
  <c r="J102" i="20"/>
  <c r="K313" i="20"/>
  <c r="K102" i="20"/>
  <c r="L313" i="20"/>
  <c r="L102" i="20"/>
  <c r="M313" i="20"/>
  <c r="M102" i="20"/>
  <c r="N313" i="20"/>
  <c r="N102" i="20"/>
  <c r="K314" i="20"/>
  <c r="K103" i="20"/>
  <c r="L314" i="20"/>
  <c r="L103" i="20"/>
  <c r="M314" i="20"/>
  <c r="M103" i="20"/>
  <c r="N314" i="20"/>
  <c r="N103" i="20"/>
  <c r="J331" i="20"/>
  <c r="J120" i="20"/>
  <c r="K331" i="20"/>
  <c r="K120" i="20"/>
  <c r="L331" i="20"/>
  <c r="L120" i="20"/>
  <c r="M331" i="20"/>
  <c r="M120" i="20"/>
  <c r="N331" i="20"/>
  <c r="N120" i="20"/>
  <c r="J332" i="20"/>
  <c r="J121" i="20"/>
  <c r="K332" i="20"/>
  <c r="K121" i="20"/>
  <c r="L332" i="20"/>
  <c r="L121" i="20"/>
  <c r="M332" i="20"/>
  <c r="M121" i="20"/>
  <c r="N332" i="20"/>
  <c r="N121" i="20"/>
  <c r="D986" i="20"/>
  <c r="D105" i="20"/>
  <c r="E986" i="20"/>
  <c r="E105" i="20"/>
  <c r="F986" i="20"/>
  <c r="F105" i="20"/>
  <c r="G986" i="20"/>
  <c r="G105" i="20"/>
  <c r="H986" i="20"/>
  <c r="H105" i="20"/>
  <c r="I986" i="20"/>
  <c r="I105" i="20"/>
  <c r="J986" i="20"/>
  <c r="J105" i="20"/>
  <c r="K986" i="20"/>
  <c r="K105" i="20"/>
  <c r="L986" i="20"/>
  <c r="L105" i="20"/>
  <c r="M986" i="20"/>
  <c r="M105" i="20"/>
  <c r="N986" i="20"/>
  <c r="N105" i="20"/>
  <c r="O986" i="20"/>
  <c r="O105" i="20"/>
  <c r="P986" i="20"/>
  <c r="P105" i="20"/>
  <c r="Q986" i="20"/>
  <c r="Q105" i="20"/>
  <c r="R986" i="20"/>
  <c r="R105" i="20"/>
  <c r="S986" i="20"/>
  <c r="S105" i="20"/>
  <c r="T986" i="20"/>
  <c r="T105" i="20"/>
  <c r="D990" i="20"/>
  <c r="D109" i="20"/>
  <c r="E990" i="20"/>
  <c r="E109" i="20"/>
  <c r="F990" i="20"/>
  <c r="F109" i="20"/>
  <c r="G990" i="20"/>
  <c r="G109" i="20"/>
  <c r="H990" i="20"/>
  <c r="H109" i="20"/>
  <c r="I990" i="20"/>
  <c r="I109" i="20"/>
  <c r="J990" i="20"/>
  <c r="J109" i="20"/>
  <c r="D993" i="20"/>
  <c r="D112" i="20"/>
  <c r="E993" i="20"/>
  <c r="E112" i="20"/>
  <c r="F993" i="20"/>
  <c r="F112" i="20"/>
  <c r="G993" i="20"/>
  <c r="G112" i="20"/>
  <c r="H993" i="20"/>
  <c r="H112" i="20"/>
  <c r="I993" i="20"/>
  <c r="I112" i="20"/>
  <c r="J993" i="20"/>
  <c r="J112" i="20"/>
  <c r="K993" i="20"/>
  <c r="K112" i="20"/>
  <c r="L993" i="20"/>
  <c r="L112" i="20"/>
  <c r="M993" i="20"/>
  <c r="M112" i="20"/>
  <c r="N993" i="20"/>
  <c r="N112" i="20"/>
  <c r="O993" i="20"/>
  <c r="O112" i="20"/>
  <c r="P993" i="20"/>
  <c r="P112" i="20"/>
  <c r="Q993" i="20"/>
  <c r="Q112" i="20"/>
  <c r="R993" i="20"/>
  <c r="R112" i="20"/>
  <c r="S993" i="20"/>
  <c r="S112" i="20"/>
  <c r="T993" i="20"/>
  <c r="T112" i="20"/>
  <c r="D1004" i="20"/>
  <c r="E1004" i="20"/>
  <c r="F1004" i="20"/>
  <c r="G1004" i="20"/>
  <c r="G122" i="20" s="1"/>
  <c r="H1004" i="20"/>
  <c r="I1004" i="20"/>
  <c r="I122" i="20" s="1"/>
  <c r="J1004" i="20"/>
  <c r="K1004" i="20"/>
  <c r="L1004" i="20"/>
  <c r="M1004" i="20"/>
  <c r="N1004" i="20"/>
  <c r="O1004" i="20"/>
  <c r="P1004" i="20"/>
  <c r="Q1004" i="20"/>
  <c r="R1004" i="20"/>
  <c r="S1004" i="20"/>
  <c r="T1004" i="20"/>
  <c r="D1007" i="20"/>
  <c r="E1007" i="20"/>
  <c r="F1007" i="20"/>
  <c r="G1007" i="20"/>
  <c r="H1007" i="20"/>
  <c r="I1007" i="20"/>
  <c r="J1007" i="20"/>
  <c r="K1007" i="20"/>
  <c r="L1007" i="20"/>
  <c r="M1007" i="20"/>
  <c r="N1007" i="20"/>
  <c r="O1007" i="20"/>
  <c r="P1007" i="20"/>
  <c r="Q1007" i="20"/>
  <c r="R1007" i="20"/>
  <c r="S1007" i="20"/>
  <c r="T1007" i="20"/>
  <c r="D1010" i="20"/>
  <c r="E1010" i="20"/>
  <c r="F1010" i="20"/>
  <c r="G1010" i="20"/>
  <c r="H1010" i="20"/>
  <c r="I1010" i="20"/>
  <c r="J1010" i="20"/>
  <c r="K1010" i="20"/>
  <c r="L1010" i="20"/>
  <c r="M1010" i="20"/>
  <c r="N1010" i="20"/>
  <c r="O1010" i="20"/>
  <c r="P1010" i="20"/>
  <c r="Q1010" i="20"/>
  <c r="R1010" i="20"/>
  <c r="S1010" i="20"/>
  <c r="T1010" i="20"/>
  <c r="D1013" i="20"/>
  <c r="E1013" i="20"/>
  <c r="F1013" i="20"/>
  <c r="G1013" i="20"/>
  <c r="H1013" i="20"/>
  <c r="I1013" i="20"/>
  <c r="J1013" i="20"/>
  <c r="K1013" i="20"/>
  <c r="L1013" i="20"/>
  <c r="M1013" i="20"/>
  <c r="N1013" i="20"/>
  <c r="O1013" i="20"/>
  <c r="P1013" i="20"/>
  <c r="Q1013" i="20"/>
  <c r="R1013" i="20"/>
  <c r="S1013" i="20"/>
  <c r="T1013" i="20"/>
  <c r="D9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R9" i="18"/>
  <c r="S9" i="18"/>
  <c r="T9" i="18"/>
  <c r="D23" i="18"/>
  <c r="E23" i="18"/>
  <c r="F23" i="18"/>
  <c r="G23" i="18"/>
  <c r="H23" i="18"/>
  <c r="I23" i="18"/>
  <c r="J23" i="18"/>
  <c r="K23" i="18"/>
  <c r="K22" i="18"/>
  <c r="L23" i="18"/>
  <c r="M23" i="18"/>
  <c r="N23" i="18"/>
  <c r="O23" i="18"/>
  <c r="P23" i="18"/>
  <c r="Q23" i="18"/>
  <c r="R23" i="18"/>
  <c r="S23" i="18"/>
  <c r="S22" i="18" s="1"/>
  <c r="T23" i="18"/>
  <c r="D27" i="18"/>
  <c r="E27" i="18"/>
  <c r="E22" i="18"/>
  <c r="F27" i="18"/>
  <c r="G27" i="18"/>
  <c r="H27" i="18"/>
  <c r="I27" i="18"/>
  <c r="I22" i="18" s="1"/>
  <c r="J27" i="18"/>
  <c r="K27" i="18"/>
  <c r="L27" i="18"/>
  <c r="M27" i="18"/>
  <c r="M22" i="18"/>
  <c r="N27" i="18"/>
  <c r="O27" i="18"/>
  <c r="P27" i="18"/>
  <c r="P22" i="18"/>
  <c r="Q27" i="18"/>
  <c r="R27" i="18"/>
  <c r="R22" i="18" s="1"/>
  <c r="S27" i="18"/>
  <c r="T27" i="18"/>
  <c r="T22" i="18" s="1"/>
  <c r="D38" i="18"/>
  <c r="E38" i="18"/>
  <c r="F38" i="18"/>
  <c r="G38" i="18"/>
  <c r="H38" i="18"/>
  <c r="I38" i="18"/>
  <c r="J38" i="18"/>
  <c r="K38" i="18"/>
  <c r="L38" i="18"/>
  <c r="M38" i="18"/>
  <c r="N38" i="18"/>
  <c r="O38" i="18"/>
  <c r="P38" i="18"/>
  <c r="Q38" i="18"/>
  <c r="R38" i="18"/>
  <c r="S38" i="18"/>
  <c r="T38" i="18"/>
  <c r="D42" i="18"/>
  <c r="D35" i="18"/>
  <c r="E42" i="18"/>
  <c r="E35" i="18"/>
  <c r="F42" i="18"/>
  <c r="F35" i="18"/>
  <c r="G42" i="18"/>
  <c r="G35" i="18"/>
  <c r="H42" i="18"/>
  <c r="H35" i="18"/>
  <c r="I42" i="18"/>
  <c r="I35" i="18"/>
  <c r="J42" i="18"/>
  <c r="J35" i="18"/>
  <c r="K42" i="18"/>
  <c r="K35" i="18"/>
  <c r="L42" i="18"/>
  <c r="L35" i="18"/>
  <c r="M42" i="18"/>
  <c r="M35" i="18"/>
  <c r="N42" i="18"/>
  <c r="N35" i="18"/>
  <c r="O42" i="18"/>
  <c r="O35" i="18"/>
  <c r="P42" i="18"/>
  <c r="P35" i="18"/>
  <c r="Q42" i="18"/>
  <c r="Q35" i="18"/>
  <c r="R42" i="18"/>
  <c r="R35" i="18"/>
  <c r="S42" i="18"/>
  <c r="S35" i="18"/>
  <c r="T42" i="18"/>
  <c r="T35" i="18"/>
  <c r="K53" i="18"/>
  <c r="L53" i="18"/>
  <c r="M53" i="18"/>
  <c r="M80" i="18"/>
  <c r="N53" i="18"/>
  <c r="N80" i="18"/>
  <c r="O53" i="18"/>
  <c r="P53" i="18"/>
  <c r="Q80" i="18" s="1"/>
  <c r="Q53" i="18"/>
  <c r="R53" i="18"/>
  <c r="R80" i="18" s="1"/>
  <c r="S53" i="18"/>
  <c r="T53" i="18"/>
  <c r="D54" i="18"/>
  <c r="E54" i="18"/>
  <c r="F54" i="18"/>
  <c r="G54" i="18"/>
  <c r="H54" i="18"/>
  <c r="I54" i="18"/>
  <c r="J54" i="18"/>
  <c r="K54" i="18"/>
  <c r="L54" i="18"/>
  <c r="M54" i="18"/>
  <c r="N54" i="18"/>
  <c r="O54" i="18"/>
  <c r="P54" i="18"/>
  <c r="Q54" i="18"/>
  <c r="R54" i="18"/>
  <c r="S54" i="18"/>
  <c r="T54" i="18"/>
  <c r="D55" i="18"/>
  <c r="E55" i="18"/>
  <c r="F55" i="18"/>
  <c r="G55" i="18"/>
  <c r="H55" i="18"/>
  <c r="I55" i="18"/>
  <c r="J55" i="18"/>
  <c r="K55" i="18"/>
  <c r="L55" i="18"/>
  <c r="M55" i="18"/>
  <c r="N55" i="18"/>
  <c r="O55" i="18"/>
  <c r="P55" i="18"/>
  <c r="Q55" i="18"/>
  <c r="R55" i="18"/>
  <c r="S55" i="18"/>
  <c r="T55" i="18"/>
  <c r="K71" i="18"/>
  <c r="K74" i="18" s="1"/>
  <c r="L71" i="18"/>
  <c r="M71" i="18"/>
  <c r="M74" i="18"/>
  <c r="N71" i="18"/>
  <c r="N74" i="18"/>
  <c r="O71" i="18"/>
  <c r="O74" i="18"/>
  <c r="P71" i="18"/>
  <c r="P74" i="18"/>
  <c r="Q71" i="18"/>
  <c r="Q74" i="18"/>
  <c r="R71" i="18"/>
  <c r="R74" i="18"/>
  <c r="S71" i="18"/>
  <c r="S74" i="18"/>
  <c r="T71" i="18"/>
  <c r="L74" i="18"/>
  <c r="T74" i="18"/>
  <c r="E77" i="18"/>
  <c r="F77" i="18"/>
  <c r="G77" i="18"/>
  <c r="H77" i="18"/>
  <c r="I77" i="18"/>
  <c r="J77" i="18"/>
  <c r="J80" i="18"/>
  <c r="J81" i="18"/>
  <c r="K81" i="18"/>
  <c r="L81" i="18"/>
  <c r="M81" i="18"/>
  <c r="N81" i="18"/>
  <c r="O81" i="18"/>
  <c r="P81" i="18"/>
  <c r="Q81" i="18"/>
  <c r="R81" i="18"/>
  <c r="S81" i="18"/>
  <c r="T81" i="18"/>
  <c r="J82" i="18"/>
  <c r="K82" i="18"/>
  <c r="L82" i="18"/>
  <c r="M82" i="18"/>
  <c r="N82" i="18"/>
  <c r="O82" i="18"/>
  <c r="P82" i="18"/>
  <c r="Q82" i="18"/>
  <c r="R82" i="18"/>
  <c r="S82" i="18"/>
  <c r="T82" i="18"/>
  <c r="J83" i="18"/>
  <c r="K83" i="18"/>
  <c r="L83" i="18"/>
  <c r="M83" i="18"/>
  <c r="N83" i="18"/>
  <c r="O83" i="18"/>
  <c r="P83" i="18"/>
  <c r="Q83" i="18"/>
  <c r="R83" i="18"/>
  <c r="S83" i="18"/>
  <c r="T83" i="18"/>
  <c r="J84" i="18"/>
  <c r="K84" i="18"/>
  <c r="L84" i="18"/>
  <c r="M84" i="18"/>
  <c r="N84" i="18"/>
  <c r="O84" i="18"/>
  <c r="P84" i="18"/>
  <c r="Q84" i="18"/>
  <c r="R84" i="18"/>
  <c r="S84" i="18"/>
  <c r="T84" i="18"/>
  <c r="J85" i="18"/>
  <c r="K85" i="18"/>
  <c r="L85" i="18"/>
  <c r="M85" i="18"/>
  <c r="N85" i="18"/>
  <c r="O85" i="18"/>
  <c r="P85" i="18"/>
  <c r="Q85" i="18"/>
  <c r="R85" i="18"/>
  <c r="S85" i="18"/>
  <c r="T85" i="18"/>
  <c r="J86" i="18"/>
  <c r="K86" i="18"/>
  <c r="L86" i="18"/>
  <c r="M86" i="18"/>
  <c r="N86" i="18"/>
  <c r="O86" i="18"/>
  <c r="P86" i="18"/>
  <c r="Q86" i="18"/>
  <c r="R86" i="18"/>
  <c r="S86" i="18"/>
  <c r="T86" i="18"/>
  <c r="J88" i="18"/>
  <c r="K88" i="18"/>
  <c r="L88" i="18"/>
  <c r="M88" i="18"/>
  <c r="N88" i="18"/>
  <c r="O88" i="18"/>
  <c r="P88" i="18"/>
  <c r="Q88" i="18"/>
  <c r="R88" i="18"/>
  <c r="S88" i="18"/>
  <c r="T88" i="18"/>
  <c r="J18" i="16"/>
  <c r="K18" i="16"/>
  <c r="L18" i="16" s="1"/>
  <c r="M18" i="16" s="1"/>
  <c r="J21" i="16"/>
  <c r="K21" i="16"/>
  <c r="L21" i="16"/>
  <c r="M21" i="16"/>
  <c r="N21" i="16"/>
  <c r="O21" i="16"/>
  <c r="P21" i="16"/>
  <c r="Q21" i="16"/>
  <c r="R21" i="16"/>
  <c r="S21" i="16"/>
  <c r="T21" i="16"/>
  <c r="Q23" i="16"/>
  <c r="J24" i="16"/>
  <c r="D25" i="16"/>
  <c r="E25" i="16"/>
  <c r="F25" i="16"/>
  <c r="G25" i="16"/>
  <c r="H25" i="16"/>
  <c r="I25" i="16"/>
  <c r="M25" i="16"/>
  <c r="N25" i="16"/>
  <c r="O25" i="16"/>
  <c r="P25" i="16"/>
  <c r="Q25" i="16"/>
  <c r="R25" i="16"/>
  <c r="S25" i="16"/>
  <c r="D32" i="16"/>
  <c r="D31" i="16"/>
  <c r="D52" i="16"/>
  <c r="E32" i="16"/>
  <c r="E31" i="16" s="1"/>
  <c r="E52" i="16"/>
  <c r="F32" i="16"/>
  <c r="F31" i="16"/>
  <c r="F52" i="16"/>
  <c r="G32" i="16"/>
  <c r="G31" i="16" s="1"/>
  <c r="G28" i="16" s="1"/>
  <c r="G52" i="16"/>
  <c r="H32" i="16"/>
  <c r="H31" i="16" s="1"/>
  <c r="H52" i="16"/>
  <c r="I32" i="16"/>
  <c r="I31" i="16"/>
  <c r="I28" i="16" s="1"/>
  <c r="I52" i="16"/>
  <c r="J29" i="16"/>
  <c r="J52" i="16"/>
  <c r="J63" i="16" s="1"/>
  <c r="K29" i="16"/>
  <c r="K52" i="16"/>
  <c r="K53" i="16"/>
  <c r="L29" i="16"/>
  <c r="L31" i="16"/>
  <c r="L52" i="16"/>
  <c r="L57" i="16"/>
  <c r="M29" i="16"/>
  <c r="M31" i="16"/>
  <c r="M39" i="16" s="1"/>
  <c r="M52" i="16"/>
  <c r="N29" i="16"/>
  <c r="N31" i="16"/>
  <c r="N52" i="16"/>
  <c r="O29" i="16"/>
  <c r="O31" i="16"/>
  <c r="O52" i="16"/>
  <c r="P29" i="16"/>
  <c r="P31" i="16"/>
  <c r="P39" i="16" s="1"/>
  <c r="P52" i="16"/>
  <c r="Q29" i="16"/>
  <c r="Q31" i="16"/>
  <c r="Q52" i="16"/>
  <c r="R29" i="16"/>
  <c r="R31" i="16"/>
  <c r="R52" i="16"/>
  <c r="S29" i="16"/>
  <c r="S31" i="16"/>
  <c r="S47" i="16"/>
  <c r="S52" i="16"/>
  <c r="T29" i="16"/>
  <c r="T31" i="16"/>
  <c r="T52" i="16"/>
  <c r="T57" i="16" s="1"/>
  <c r="P34" i="16"/>
  <c r="D36" i="16"/>
  <c r="E36" i="16"/>
  <c r="F36" i="16"/>
  <c r="G36" i="16"/>
  <c r="H36" i="16"/>
  <c r="I36" i="16"/>
  <c r="N42" i="16"/>
  <c r="N50" i="16"/>
  <c r="P46" i="16"/>
  <c r="P51" i="16"/>
  <c r="R42" i="16"/>
  <c r="R50" i="16"/>
  <c r="S39" i="16"/>
  <c r="T38" i="16"/>
  <c r="T43" i="16"/>
  <c r="T47" i="16"/>
  <c r="S53" i="16"/>
  <c r="O56" i="16"/>
  <c r="S56" i="16"/>
  <c r="O57" i="16"/>
  <c r="P57" i="16"/>
  <c r="M58" i="16"/>
  <c r="K60" i="16"/>
  <c r="S60" i="16"/>
  <c r="M62" i="16"/>
  <c r="M63" i="16"/>
  <c r="X66" i="16"/>
  <c r="Z66" i="16"/>
  <c r="D67" i="16"/>
  <c r="E67" i="16"/>
  <c r="F67" i="16"/>
  <c r="G67" i="16"/>
  <c r="H67" i="16"/>
  <c r="I67" i="16"/>
  <c r="M67" i="16"/>
  <c r="N67" i="16"/>
  <c r="P67" i="16"/>
  <c r="R67" i="16"/>
  <c r="S67" i="16"/>
  <c r="Z67" i="16"/>
  <c r="S68" i="16"/>
  <c r="T103" i="16"/>
  <c r="Z68" i="16"/>
  <c r="X69" i="16"/>
  <c r="Z69" i="16" s="1"/>
  <c r="X70" i="16"/>
  <c r="Z70" i="16" s="1"/>
  <c r="Z71" i="16"/>
  <c r="X72" i="16"/>
  <c r="Z72" i="16"/>
  <c r="Z73" i="16"/>
  <c r="X74" i="16"/>
  <c r="Z74" i="16" s="1"/>
  <c r="J75" i="16"/>
  <c r="K75" i="16"/>
  <c r="L75" i="16"/>
  <c r="M75" i="16"/>
  <c r="O75" i="16"/>
  <c r="P75" i="16"/>
  <c r="Q75" i="16"/>
  <c r="R75" i="16"/>
  <c r="S75" i="16"/>
  <c r="T75" i="16"/>
  <c r="Z75" i="16"/>
  <c r="X76" i="16"/>
  <c r="Z76" i="16"/>
  <c r="J77" i="16"/>
  <c r="K77" i="16"/>
  <c r="L77" i="16" s="1"/>
  <c r="M77" i="16" s="1"/>
  <c r="Z77" i="16"/>
  <c r="X78" i="16"/>
  <c r="Z78" i="16" s="1"/>
  <c r="Z79" i="16"/>
  <c r="K89" i="16"/>
  <c r="N94" i="16"/>
  <c r="S95" i="16"/>
  <c r="S90" i="16"/>
  <c r="T95" i="16"/>
  <c r="T90" i="16"/>
  <c r="D89" i="16"/>
  <c r="D90" i="16"/>
  <c r="D97" i="16" s="1"/>
  <c r="E89" i="16"/>
  <c r="E90" i="16" s="1"/>
  <c r="E97" i="16" s="1"/>
  <c r="F89" i="16"/>
  <c r="F90" i="16"/>
  <c r="F97" i="16" s="1"/>
  <c r="G89" i="16"/>
  <c r="G90" i="16" s="1"/>
  <c r="G97" i="16" s="1"/>
  <c r="J89" i="16"/>
  <c r="J90" i="16"/>
  <c r="J95" i="16" s="1"/>
  <c r="S91" i="16"/>
  <c r="T91" i="16"/>
  <c r="J104" i="16"/>
  <c r="P106" i="16"/>
  <c r="Q106" i="16"/>
  <c r="R106" i="16"/>
  <c r="S106" i="16"/>
  <c r="T106" i="16"/>
  <c r="J109" i="16"/>
  <c r="K109" i="16"/>
  <c r="N109" i="16"/>
  <c r="O109" i="16"/>
  <c r="P109" i="16"/>
  <c r="Q109" i="16"/>
  <c r="S109" i="16"/>
  <c r="J114" i="16"/>
  <c r="K115" i="16"/>
  <c r="L115" i="16" s="1"/>
  <c r="M115" i="16" s="1"/>
  <c r="N115" i="16" s="1"/>
  <c r="O115" i="16" s="1"/>
  <c r="P115" i="16" s="1"/>
  <c r="Q115" i="16" s="1"/>
  <c r="R115" i="16" s="1"/>
  <c r="S115" i="16" s="1"/>
  <c r="J127" i="16"/>
  <c r="N127" i="16"/>
  <c r="O127" i="16"/>
  <c r="P127" i="16"/>
  <c r="Q127" i="16"/>
  <c r="R127" i="16"/>
  <c r="S127" i="16"/>
  <c r="T127" i="16"/>
  <c r="J128" i="16"/>
  <c r="J129" i="16"/>
  <c r="P130" i="16"/>
  <c r="Q130" i="16"/>
  <c r="R130" i="16"/>
  <c r="S130" i="16"/>
  <c r="T130" i="16"/>
  <c r="J132" i="16"/>
  <c r="L132" i="16"/>
  <c r="R132" i="16"/>
  <c r="T132" i="16"/>
  <c r="G16" i="15"/>
  <c r="F16" i="15" s="1"/>
  <c r="E16" i="15" s="1"/>
  <c r="D16" i="15" s="1"/>
  <c r="K16" i="15"/>
  <c r="L16" i="15" s="1"/>
  <c r="M16" i="15" s="1"/>
  <c r="N16" i="15" s="1"/>
  <c r="O16" i="15" s="1"/>
  <c r="P16" i="15" s="1"/>
  <c r="Q16" i="15" s="1"/>
  <c r="R16" i="15" s="1"/>
  <c r="S16" i="15" s="1"/>
  <c r="T16" i="15" s="1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J28" i="15"/>
  <c r="J36" i="15"/>
  <c r="K28" i="15"/>
  <c r="L28" i="15"/>
  <c r="M28" i="15"/>
  <c r="M61" i="15"/>
  <c r="M63" i="15" s="1"/>
  <c r="N28" i="15"/>
  <c r="O28" i="15"/>
  <c r="P28" i="15"/>
  <c r="P36" i="15" s="1"/>
  <c r="Q28" i="15"/>
  <c r="Q36" i="15" s="1"/>
  <c r="Q38" i="15" s="1"/>
  <c r="R28" i="15"/>
  <c r="S28" i="15"/>
  <c r="T28" i="15"/>
  <c r="D29" i="15"/>
  <c r="D31" i="15" s="1"/>
  <c r="E29" i="15"/>
  <c r="F29" i="15"/>
  <c r="F31" i="15"/>
  <c r="G29" i="15"/>
  <c r="G31" i="15"/>
  <c r="H29" i="15"/>
  <c r="I29" i="15"/>
  <c r="E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J33" i="15"/>
  <c r="K33" i="15"/>
  <c r="L33" i="15"/>
  <c r="M33" i="15"/>
  <c r="M34" i="15"/>
  <c r="N33" i="15"/>
  <c r="N34" i="15"/>
  <c r="O33" i="15"/>
  <c r="O34" i="15"/>
  <c r="P33" i="15"/>
  <c r="Q33" i="15"/>
  <c r="Q34" i="15" s="1"/>
  <c r="R33" i="15"/>
  <c r="S33" i="15"/>
  <c r="S34" i="15"/>
  <c r="T33" i="15"/>
  <c r="K34" i="15"/>
  <c r="J35" i="15"/>
  <c r="K35" i="15"/>
  <c r="L35" i="15"/>
  <c r="M35" i="15"/>
  <c r="N35" i="15"/>
  <c r="O35" i="15"/>
  <c r="P35" i="15"/>
  <c r="Q35" i="15"/>
  <c r="R35" i="15"/>
  <c r="S35" i="15"/>
  <c r="T35" i="15"/>
  <c r="U35" i="15"/>
  <c r="U32" i="15"/>
  <c r="V35" i="15"/>
  <c r="V32" i="15"/>
  <c r="W35" i="15"/>
  <c r="W32" i="15"/>
  <c r="X35" i="15"/>
  <c r="X32" i="15"/>
  <c r="Y35" i="15"/>
  <c r="Y32" i="15"/>
  <c r="Z35" i="15"/>
  <c r="Z32" i="15"/>
  <c r="AA35" i="15"/>
  <c r="AA32" i="15"/>
  <c r="AB35" i="15"/>
  <c r="AB32" i="15"/>
  <c r="AC35" i="15"/>
  <c r="AC32" i="15"/>
  <c r="AD35" i="15"/>
  <c r="AD32" i="15"/>
  <c r="AE35" i="15"/>
  <c r="AE32" i="15"/>
  <c r="AF35" i="15"/>
  <c r="AF32" i="15"/>
  <c r="AG35" i="15"/>
  <c r="AG32" i="15"/>
  <c r="AH35" i="15"/>
  <c r="AH32" i="15"/>
  <c r="AI35" i="15"/>
  <c r="AI32" i="15"/>
  <c r="AJ35" i="15"/>
  <c r="AJ32" i="15"/>
  <c r="AK35" i="15"/>
  <c r="AK32" i="15"/>
  <c r="J38" i="15"/>
  <c r="J49" i="15"/>
  <c r="K36" i="15"/>
  <c r="M36" i="15"/>
  <c r="M43" i="15" s="1"/>
  <c r="R36" i="15"/>
  <c r="R43" i="15" s="1"/>
  <c r="D38" i="15"/>
  <c r="D36" i="15"/>
  <c r="E38" i="15"/>
  <c r="E36" i="15"/>
  <c r="E32" i="15" s="1"/>
  <c r="F38" i="15"/>
  <c r="F36" i="15" s="1"/>
  <c r="G38" i="15"/>
  <c r="G36" i="15" s="1"/>
  <c r="G32" i="15" s="1"/>
  <c r="H38" i="15"/>
  <c r="H36" i="15"/>
  <c r="H37" i="15" s="1"/>
  <c r="I38" i="15"/>
  <c r="I36" i="15"/>
  <c r="K38" i="15"/>
  <c r="D43" i="15"/>
  <c r="E43" i="15"/>
  <c r="F43" i="15"/>
  <c r="G44" i="15"/>
  <c r="G43" i="15" s="1"/>
  <c r="H44" i="15"/>
  <c r="H43" i="15" s="1"/>
  <c r="I44" i="15"/>
  <c r="I43" i="15" s="1"/>
  <c r="K46" i="15"/>
  <c r="D52" i="15"/>
  <c r="E52" i="15"/>
  <c r="F52" i="15"/>
  <c r="G52" i="15"/>
  <c r="H52" i="15"/>
  <c r="I52" i="15"/>
  <c r="J52" i="15"/>
  <c r="K52" i="15"/>
  <c r="K57" i="15"/>
  <c r="L52" i="15"/>
  <c r="M52" i="15"/>
  <c r="M53" i="15" s="1"/>
  <c r="N52" i="15"/>
  <c r="N56" i="15" s="1"/>
  <c r="O52" i="15"/>
  <c r="P52" i="15"/>
  <c r="Q52" i="15"/>
  <c r="Q54" i="15"/>
  <c r="R52" i="15"/>
  <c r="S52" i="15"/>
  <c r="T52" i="15"/>
  <c r="T58" i="15"/>
  <c r="Q53" i="15"/>
  <c r="N54" i="15"/>
  <c r="Q55" i="15"/>
  <c r="M56" i="15"/>
  <c r="R56" i="15"/>
  <c r="Q57" i="15"/>
  <c r="N58" i="15"/>
  <c r="Q58" i="15"/>
  <c r="R58" i="15"/>
  <c r="Q59" i="15"/>
  <c r="J61" i="15"/>
  <c r="J63" i="15"/>
  <c r="K61" i="15"/>
  <c r="K63" i="15"/>
  <c r="P61" i="15"/>
  <c r="P63" i="15"/>
  <c r="R61" i="15"/>
  <c r="R63" i="15"/>
  <c r="J62" i="15"/>
  <c r="D63" i="15"/>
  <c r="E63" i="15"/>
  <c r="F63" i="15"/>
  <c r="G63" i="15"/>
  <c r="H63" i="15"/>
  <c r="I63" i="15"/>
  <c r="J64" i="15"/>
  <c r="J66" i="15" s="1"/>
  <c r="K64" i="15" s="1"/>
  <c r="K66" i="15" s="1"/>
  <c r="L64" i="15" s="1"/>
  <c r="L66" i="15" s="1"/>
  <c r="M64" i="15" s="1"/>
  <c r="M66" i="15" s="1"/>
  <c r="N64" i="15" s="1"/>
  <c r="N66" i="15" s="1"/>
  <c r="O64" i="15" s="1"/>
  <c r="O66" i="15" s="1"/>
  <c r="P64" i="15" s="1"/>
  <c r="P66" i="15" s="1"/>
  <c r="Q64" i="15" s="1"/>
  <c r="Q66" i="15" s="1"/>
  <c r="R64" i="15" s="1"/>
  <c r="R66" i="15" s="1"/>
  <c r="S64" i="15" s="1"/>
  <c r="S66" i="15" s="1"/>
  <c r="T64" i="15"/>
  <c r="J65" i="15"/>
  <c r="D66" i="15"/>
  <c r="E66" i="15"/>
  <c r="F66" i="15"/>
  <c r="G66" i="15"/>
  <c r="H66" i="15"/>
  <c r="I66" i="15"/>
  <c r="T66" i="15"/>
  <c r="J68" i="15"/>
  <c r="J69" i="15"/>
  <c r="K69" i="15" s="1"/>
  <c r="L69" i="15" s="1"/>
  <c r="M69" i="15" s="1"/>
  <c r="N69" i="15"/>
  <c r="O69" i="15" s="1"/>
  <c r="P69" i="15" s="1"/>
  <c r="Q69" i="15" s="1"/>
  <c r="R69" i="15" s="1"/>
  <c r="S69" i="15"/>
  <c r="T69" i="15"/>
  <c r="J70" i="15"/>
  <c r="V71" i="15"/>
  <c r="J72" i="15"/>
  <c r="T72" i="15"/>
  <c r="J73" i="15"/>
  <c r="K73" i="15"/>
  <c r="L73" i="15"/>
  <c r="M73" i="15"/>
  <c r="N73" i="15"/>
  <c r="O73" i="15"/>
  <c r="P73" i="15"/>
  <c r="Q73" i="15"/>
  <c r="R73" i="15"/>
  <c r="S73" i="15"/>
  <c r="T73" i="15"/>
  <c r="T74" i="15"/>
  <c r="J74" i="15"/>
  <c r="K74" i="15"/>
  <c r="J75" i="15"/>
  <c r="S75" i="15"/>
  <c r="T75" i="15"/>
  <c r="D76" i="15"/>
  <c r="E76" i="15"/>
  <c r="F76" i="15"/>
  <c r="G76" i="15"/>
  <c r="H78" i="15"/>
  <c r="I78" i="15"/>
  <c r="H86" i="15"/>
  <c r="J92" i="15"/>
  <c r="J96" i="15"/>
  <c r="I111" i="15"/>
  <c r="D112" i="15"/>
  <c r="D113" i="15" s="1"/>
  <c r="E112" i="15"/>
  <c r="E113" i="15" s="1"/>
  <c r="F112" i="15"/>
  <c r="F113" i="15" s="1"/>
  <c r="G112" i="15"/>
  <c r="G113" i="15" s="1"/>
  <c r="H112" i="15"/>
  <c r="H113" i="15" s="1"/>
  <c r="I112" i="15"/>
  <c r="I113" i="15" s="1"/>
  <c r="D114" i="15"/>
  <c r="E114" i="15"/>
  <c r="F114" i="15"/>
  <c r="G114" i="15"/>
  <c r="H114" i="15"/>
  <c r="I114" i="15"/>
  <c r="T25" i="14"/>
  <c r="V14" i="14"/>
  <c r="X14" i="14"/>
  <c r="D18" i="14"/>
  <c r="E18" i="14"/>
  <c r="I21" i="14"/>
  <c r="J21" i="14"/>
  <c r="K21" i="14" s="1"/>
  <c r="L21" i="14" s="1"/>
  <c r="M21" i="14" s="1"/>
  <c r="J25" i="14"/>
  <c r="J33" i="14" s="1"/>
  <c r="K25" i="14"/>
  <c r="K33" i="14" s="1"/>
  <c r="L25" i="14"/>
  <c r="L33" i="14" s="1"/>
  <c r="M25" i="14"/>
  <c r="N25" i="14"/>
  <c r="N33" i="14"/>
  <c r="O25" i="14"/>
  <c r="O33" i="14"/>
  <c r="P25" i="14"/>
  <c r="P33" i="14"/>
  <c r="Q25" i="14"/>
  <c r="Q33" i="14"/>
  <c r="R25" i="14"/>
  <c r="R33" i="14"/>
  <c r="S25" i="14"/>
  <c r="S33" i="14"/>
  <c r="E30" i="14"/>
  <c r="F30" i="14"/>
  <c r="F63" i="14" s="1"/>
  <c r="G30" i="14"/>
  <c r="G63" i="14" s="1"/>
  <c r="H30" i="14"/>
  <c r="H63" i="14" s="1"/>
  <c r="I30" i="14"/>
  <c r="I63" i="14" s="1"/>
  <c r="J30" i="14"/>
  <c r="J63" i="14" s="1"/>
  <c r="AH63" i="14" s="1"/>
  <c r="K30" i="14"/>
  <c r="K38" i="14"/>
  <c r="L30" i="14"/>
  <c r="M30" i="14"/>
  <c r="N30" i="14"/>
  <c r="O30" i="14"/>
  <c r="O38" i="14" s="1"/>
  <c r="P30" i="14"/>
  <c r="P61" i="14" s="1"/>
  <c r="P63" i="14" s="1"/>
  <c r="Q30" i="14"/>
  <c r="R30" i="14"/>
  <c r="S30" i="14"/>
  <c r="S38" i="14"/>
  <c r="T30" i="14"/>
  <c r="T61" i="14"/>
  <c r="J32" i="14"/>
  <c r="K32" i="14"/>
  <c r="L32" i="14"/>
  <c r="M32" i="14"/>
  <c r="N32" i="14"/>
  <c r="O32" i="14"/>
  <c r="P32" i="14"/>
  <c r="Q32" i="14"/>
  <c r="R32" i="14"/>
  <c r="S32" i="14"/>
  <c r="T32" i="14"/>
  <c r="D33" i="14"/>
  <c r="E33" i="14"/>
  <c r="F33" i="14"/>
  <c r="G33" i="14"/>
  <c r="H33" i="14"/>
  <c r="I33" i="14"/>
  <c r="M33" i="14"/>
  <c r="J35" i="14"/>
  <c r="K35" i="14"/>
  <c r="K36" i="14" s="1"/>
  <c r="L35" i="14"/>
  <c r="M35" i="14"/>
  <c r="N35" i="14"/>
  <c r="N36" i="14" s="1"/>
  <c r="O35" i="14"/>
  <c r="P35" i="14"/>
  <c r="Q35" i="14"/>
  <c r="Q36" i="14" s="1"/>
  <c r="R35" i="14"/>
  <c r="R36" i="14" s="1"/>
  <c r="S35" i="14"/>
  <c r="T35" i="14"/>
  <c r="J36" i="14"/>
  <c r="L36" i="14"/>
  <c r="P36" i="14"/>
  <c r="T36" i="14"/>
  <c r="J37" i="14"/>
  <c r="K37" i="14"/>
  <c r="L37" i="14"/>
  <c r="M37" i="14"/>
  <c r="N37" i="14"/>
  <c r="O37" i="14"/>
  <c r="P37" i="14"/>
  <c r="Q37" i="14"/>
  <c r="R37" i="14"/>
  <c r="S37" i="14"/>
  <c r="T37" i="14"/>
  <c r="D38" i="14"/>
  <c r="E38" i="14"/>
  <c r="F38" i="14"/>
  <c r="F39" i="14" s="1"/>
  <c r="G38" i="14"/>
  <c r="H38" i="14"/>
  <c r="I38" i="14"/>
  <c r="T38" i="14"/>
  <c r="T39" i="14" s="1"/>
  <c r="D40" i="14"/>
  <c r="E40" i="14"/>
  <c r="F40" i="14"/>
  <c r="G40" i="14"/>
  <c r="H40" i="14"/>
  <c r="I40" i="14"/>
  <c r="D45" i="14"/>
  <c r="E45" i="14"/>
  <c r="F45" i="14"/>
  <c r="G45" i="14"/>
  <c r="H45" i="14"/>
  <c r="I45" i="14"/>
  <c r="E52" i="14"/>
  <c r="F52" i="14"/>
  <c r="F34" i="14"/>
  <c r="G52" i="14"/>
  <c r="H52" i="14"/>
  <c r="I52" i="14"/>
  <c r="J53" i="14"/>
  <c r="J52" i="14" s="1"/>
  <c r="K53" i="14"/>
  <c r="L53" i="14"/>
  <c r="M53" i="14"/>
  <c r="N53" i="14"/>
  <c r="O53" i="14"/>
  <c r="P53" i="14"/>
  <c r="Q53" i="14"/>
  <c r="R53" i="14"/>
  <c r="S53" i="14"/>
  <c r="T53" i="14"/>
  <c r="J54" i="14"/>
  <c r="K54" i="14"/>
  <c r="L54" i="14"/>
  <c r="L52" i="14" s="1"/>
  <c r="M54" i="14"/>
  <c r="N54" i="14"/>
  <c r="O54" i="14"/>
  <c r="P54" i="14"/>
  <c r="Q54" i="14"/>
  <c r="R54" i="14"/>
  <c r="S54" i="14"/>
  <c r="T54" i="14"/>
  <c r="J55" i="14"/>
  <c r="K55" i="14"/>
  <c r="L55" i="14"/>
  <c r="M55" i="14"/>
  <c r="M52" i="14" s="1"/>
  <c r="N55" i="14"/>
  <c r="O55" i="14"/>
  <c r="P55" i="14"/>
  <c r="Q55" i="14"/>
  <c r="R55" i="14"/>
  <c r="S55" i="14"/>
  <c r="T55" i="14"/>
  <c r="J56" i="14"/>
  <c r="K56" i="14"/>
  <c r="L56" i="14"/>
  <c r="M56" i="14"/>
  <c r="N56" i="14"/>
  <c r="O56" i="14"/>
  <c r="P56" i="14"/>
  <c r="Q56" i="14"/>
  <c r="R56" i="14"/>
  <c r="S56" i="14"/>
  <c r="T56" i="14"/>
  <c r="D57" i="14"/>
  <c r="D52" i="14"/>
  <c r="J57" i="14"/>
  <c r="K57" i="14"/>
  <c r="L57" i="14"/>
  <c r="M57" i="14"/>
  <c r="N57" i="14"/>
  <c r="O57" i="14"/>
  <c r="P57" i="14"/>
  <c r="Q57" i="14"/>
  <c r="R57" i="14"/>
  <c r="S57" i="14"/>
  <c r="T57" i="14"/>
  <c r="J58" i="14"/>
  <c r="K58" i="14"/>
  <c r="L58" i="14"/>
  <c r="M58" i="14"/>
  <c r="N58" i="14"/>
  <c r="O58" i="14"/>
  <c r="P58" i="14"/>
  <c r="Q58" i="14"/>
  <c r="Q52" i="14"/>
  <c r="R58" i="14"/>
  <c r="S58" i="14"/>
  <c r="T58" i="14"/>
  <c r="J59" i="14"/>
  <c r="K59" i="14"/>
  <c r="L59" i="14"/>
  <c r="M59" i="14"/>
  <c r="N59" i="14"/>
  <c r="O59" i="14"/>
  <c r="P59" i="14"/>
  <c r="Q59" i="14"/>
  <c r="R59" i="14"/>
  <c r="S59" i="14"/>
  <c r="T59" i="14"/>
  <c r="T63" i="14"/>
  <c r="J62" i="14"/>
  <c r="K62" i="14" s="1"/>
  <c r="AG62" i="14"/>
  <c r="D63" i="14"/>
  <c r="J64" i="14"/>
  <c r="AG64" i="14"/>
  <c r="J65" i="14"/>
  <c r="AG65" i="14"/>
  <c r="D66" i="14"/>
  <c r="E66" i="14"/>
  <c r="F66" i="14"/>
  <c r="G66" i="14"/>
  <c r="H66" i="14"/>
  <c r="I66" i="14"/>
  <c r="AG66" i="14" s="1"/>
  <c r="J66" i="14"/>
  <c r="AH66" i="14" s="1"/>
  <c r="AG67" i="14"/>
  <c r="AH67" i="14"/>
  <c r="J68" i="14"/>
  <c r="J94" i="14" s="1"/>
  <c r="AG68" i="14"/>
  <c r="T69" i="14"/>
  <c r="AG69" i="14"/>
  <c r="AH69" i="14"/>
  <c r="J70" i="14"/>
  <c r="AG70" i="14"/>
  <c r="AG71" i="14"/>
  <c r="AH71" i="14"/>
  <c r="J72" i="14"/>
  <c r="K72" i="14" s="1"/>
  <c r="L72" i="14" s="1"/>
  <c r="AG72" i="14"/>
  <c r="AH72" i="14"/>
  <c r="J73" i="14"/>
  <c r="AG73" i="14"/>
  <c r="T74" i="14"/>
  <c r="AG74" i="14"/>
  <c r="AH74" i="14"/>
  <c r="J75" i="14"/>
  <c r="AG75" i="14"/>
  <c r="J76" i="14"/>
  <c r="K76" i="14"/>
  <c r="L76" i="14"/>
  <c r="M76" i="14"/>
  <c r="N76" i="14"/>
  <c r="O76" i="14"/>
  <c r="P76" i="14"/>
  <c r="Q76" i="14"/>
  <c r="R76" i="14"/>
  <c r="S76" i="14"/>
  <c r="T76" i="14"/>
  <c r="AG76" i="14"/>
  <c r="AH76" i="14"/>
  <c r="J77" i="14"/>
  <c r="K77" i="14"/>
  <c r="L77" i="14" s="1"/>
  <c r="M77" i="14" s="1"/>
  <c r="N77" i="14" s="1"/>
  <c r="O77" i="14" s="1"/>
  <c r="P77" i="14" s="1"/>
  <c r="Q77" i="14" s="1"/>
  <c r="R77" i="14" s="1"/>
  <c r="S77" i="14"/>
  <c r="T77" i="14"/>
  <c r="AG77" i="14"/>
  <c r="D78" i="14"/>
  <c r="E78" i="14"/>
  <c r="F78" i="14"/>
  <c r="G78" i="14"/>
  <c r="H78" i="14"/>
  <c r="I78" i="14"/>
  <c r="J89" i="14"/>
  <c r="J90" i="14"/>
  <c r="K89" i="14"/>
  <c r="L89" i="14"/>
  <c r="M89" i="14"/>
  <c r="N89" i="14"/>
  <c r="O89" i="14"/>
  <c r="P89" i="14"/>
  <c r="Q89" i="14"/>
  <c r="R89" i="14"/>
  <c r="S89" i="14"/>
  <c r="T89" i="14"/>
  <c r="T90" i="14"/>
  <c r="J97" i="14"/>
  <c r="K97" i="14"/>
  <c r="L97" i="14"/>
  <c r="M97" i="14"/>
  <c r="N97" i="14"/>
  <c r="O97" i="14"/>
  <c r="P97" i="14"/>
  <c r="Q97" i="14"/>
  <c r="R97" i="14"/>
  <c r="S97" i="14"/>
  <c r="J103" i="14"/>
  <c r="J108" i="14"/>
  <c r="K108" i="14"/>
  <c r="L108" i="14"/>
  <c r="M108" i="14"/>
  <c r="N108" i="14"/>
  <c r="O108" i="14"/>
  <c r="P108" i="14"/>
  <c r="Q108" i="14"/>
  <c r="R108" i="14"/>
  <c r="S108" i="14"/>
  <c r="X4" i="13"/>
  <c r="J7" i="13"/>
  <c r="K7" i="13"/>
  <c r="L7" i="13"/>
  <c r="M7" i="13"/>
  <c r="N7" i="13"/>
  <c r="O7" i="13"/>
  <c r="P7" i="13"/>
  <c r="Q7" i="13"/>
  <c r="R7" i="13"/>
  <c r="S7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D9" i="13"/>
  <c r="E9" i="13"/>
  <c r="F9" i="13"/>
  <c r="G9" i="13"/>
  <c r="D10" i="13"/>
  <c r="E10" i="13"/>
  <c r="F10" i="13"/>
  <c r="G10" i="13"/>
  <c r="D11" i="13"/>
  <c r="E11" i="13"/>
  <c r="F11" i="13"/>
  <c r="G11" i="13"/>
  <c r="V13" i="13"/>
  <c r="H17" i="13"/>
  <c r="G17" i="13"/>
  <c r="J17" i="13"/>
  <c r="K17" i="13"/>
  <c r="L17" i="13" s="1"/>
  <c r="M17" i="13" s="1"/>
  <c r="N17" i="13" s="1"/>
  <c r="O17" i="13" s="1"/>
  <c r="P17" i="13" s="1"/>
  <c r="Q17" i="13" s="1"/>
  <c r="R17" i="13" s="1"/>
  <c r="G18" i="13"/>
  <c r="H18" i="13" s="1"/>
  <c r="I18" i="13" s="1"/>
  <c r="J18" i="13" s="1"/>
  <c r="K18" i="13" s="1"/>
  <c r="D21" i="13"/>
  <c r="E21" i="13"/>
  <c r="F21" i="13"/>
  <c r="G21" i="13"/>
  <c r="H21" i="13"/>
  <c r="I21" i="13"/>
  <c r="V21" i="13" s="1"/>
  <c r="J22" i="13"/>
  <c r="K22" i="13"/>
  <c r="L22" i="13"/>
  <c r="L23" i="13" s="1"/>
  <c r="M22" i="13"/>
  <c r="M24" i="13"/>
  <c r="N22" i="13"/>
  <c r="O22" i="13"/>
  <c r="P22" i="13"/>
  <c r="Q22" i="13"/>
  <c r="Q24" i="13" s="1"/>
  <c r="R22" i="13"/>
  <c r="R21" i="13" s="1"/>
  <c r="S22" i="13"/>
  <c r="T22" i="13"/>
  <c r="T24" i="13"/>
  <c r="R23" i="13"/>
  <c r="K26" i="13"/>
  <c r="K37" i="13" s="1"/>
  <c r="L26" i="13"/>
  <c r="L21" i="13"/>
  <c r="M26" i="13"/>
  <c r="M37" i="13"/>
  <c r="N26" i="13"/>
  <c r="O26" i="13"/>
  <c r="P26" i="13"/>
  <c r="Q26" i="13"/>
  <c r="R26" i="13"/>
  <c r="S26" i="13"/>
  <c r="T26" i="13"/>
  <c r="J27" i="13"/>
  <c r="L27" i="13"/>
  <c r="J28" i="13"/>
  <c r="L28" i="13"/>
  <c r="J30" i="13"/>
  <c r="J39" i="13" s="1"/>
  <c r="K30" i="13"/>
  <c r="L30" i="13"/>
  <c r="L39" i="13"/>
  <c r="M30" i="13"/>
  <c r="M39" i="13"/>
  <c r="N30" i="13"/>
  <c r="N39" i="13"/>
  <c r="O30" i="13"/>
  <c r="O39" i="13"/>
  <c r="P30" i="13"/>
  <c r="P39" i="13"/>
  <c r="Q30" i="13"/>
  <c r="Q39" i="13"/>
  <c r="R30" i="13"/>
  <c r="R39" i="13"/>
  <c r="S30" i="13"/>
  <c r="T30" i="13"/>
  <c r="T39" i="13" s="1"/>
  <c r="D34" i="13"/>
  <c r="D62" i="13" s="1"/>
  <c r="E34" i="13"/>
  <c r="F34" i="13"/>
  <c r="G34" i="13"/>
  <c r="H34" i="13"/>
  <c r="I34" i="13"/>
  <c r="I45" i="13" s="1"/>
  <c r="L35" i="13"/>
  <c r="L34" i="13" s="1"/>
  <c r="N35" i="13"/>
  <c r="D36" i="13"/>
  <c r="E36" i="13"/>
  <c r="F36" i="13"/>
  <c r="G36" i="13"/>
  <c r="H36" i="13"/>
  <c r="I36" i="13"/>
  <c r="J37" i="13"/>
  <c r="L37" i="13"/>
  <c r="D38" i="13"/>
  <c r="E38" i="13"/>
  <c r="F38" i="13"/>
  <c r="G38" i="13"/>
  <c r="H38" i="13"/>
  <c r="I38" i="13"/>
  <c r="K39" i="13"/>
  <c r="S39" i="13"/>
  <c r="D40" i="13"/>
  <c r="E40" i="13"/>
  <c r="F40" i="13"/>
  <c r="G40" i="13"/>
  <c r="H40" i="13"/>
  <c r="I40" i="13"/>
  <c r="D41" i="13"/>
  <c r="E41" i="13"/>
  <c r="F41" i="13"/>
  <c r="G41" i="13"/>
  <c r="H41" i="13"/>
  <c r="I41" i="13"/>
  <c r="J42" i="13"/>
  <c r="J43" i="13" s="1"/>
  <c r="K42" i="13"/>
  <c r="L42" i="13"/>
  <c r="L43" i="13"/>
  <c r="M42" i="13"/>
  <c r="M43" i="13"/>
  <c r="N42" i="13"/>
  <c r="O42" i="13"/>
  <c r="P42" i="13"/>
  <c r="Q42" i="13"/>
  <c r="Q43" i="13" s="1"/>
  <c r="R42" i="13"/>
  <c r="R43" i="13" s="1"/>
  <c r="S42" i="13"/>
  <c r="T42" i="13"/>
  <c r="S43" i="13"/>
  <c r="F45" i="13"/>
  <c r="D46" i="13"/>
  <c r="E46" i="13"/>
  <c r="F46" i="13"/>
  <c r="G46" i="13"/>
  <c r="H46" i="13"/>
  <c r="I46" i="13"/>
  <c r="J52" i="13"/>
  <c r="J51" i="13" s="1"/>
  <c r="K52" i="13"/>
  <c r="L52" i="13"/>
  <c r="M52" i="13"/>
  <c r="N52" i="13"/>
  <c r="O52" i="13"/>
  <c r="P52" i="13"/>
  <c r="P51" i="13" s="1"/>
  <c r="Q52" i="13"/>
  <c r="R52" i="13"/>
  <c r="S52" i="13"/>
  <c r="T52" i="13"/>
  <c r="J53" i="13"/>
  <c r="K53" i="13"/>
  <c r="L53" i="13"/>
  <c r="M53" i="13"/>
  <c r="M51" i="13" s="1"/>
  <c r="N53" i="13"/>
  <c r="O53" i="13"/>
  <c r="P53" i="13"/>
  <c r="Q53" i="13"/>
  <c r="R53" i="13"/>
  <c r="S53" i="13"/>
  <c r="T53" i="13"/>
  <c r="J56" i="13"/>
  <c r="K56" i="13"/>
  <c r="L56" i="13"/>
  <c r="L51" i="13" s="1"/>
  <c r="M56" i="13"/>
  <c r="N56" i="13"/>
  <c r="O56" i="13"/>
  <c r="P56" i="13"/>
  <c r="Q56" i="13"/>
  <c r="R56" i="13"/>
  <c r="S56" i="13"/>
  <c r="T56" i="13"/>
  <c r="T51" i="13" s="1"/>
  <c r="J57" i="13"/>
  <c r="K57" i="13"/>
  <c r="L57" i="13"/>
  <c r="M57" i="13"/>
  <c r="N57" i="13"/>
  <c r="O57" i="13"/>
  <c r="O51" i="13" s="1"/>
  <c r="P57" i="13"/>
  <c r="Q57" i="13"/>
  <c r="R57" i="13"/>
  <c r="S57" i="13"/>
  <c r="T57" i="13"/>
  <c r="J58" i="13"/>
  <c r="K58" i="13"/>
  <c r="L58" i="13"/>
  <c r="M58" i="13"/>
  <c r="N58" i="13"/>
  <c r="O58" i="13"/>
  <c r="P58" i="13"/>
  <c r="Q58" i="13"/>
  <c r="R58" i="13"/>
  <c r="S58" i="13"/>
  <c r="T58" i="13"/>
  <c r="J61" i="13"/>
  <c r="F62" i="13"/>
  <c r="J63" i="13"/>
  <c r="N63" i="13"/>
  <c r="S63" i="13"/>
  <c r="S65" i="13" s="1"/>
  <c r="T63" i="13"/>
  <c r="T65" i="13" s="1"/>
  <c r="J64" i="13"/>
  <c r="D65" i="13"/>
  <c r="E65" i="13"/>
  <c r="F65" i="13"/>
  <c r="G65" i="13"/>
  <c r="H65" i="13"/>
  <c r="I65" i="13"/>
  <c r="J67" i="13"/>
  <c r="K67" i="13"/>
  <c r="J68" i="13"/>
  <c r="K68" i="13"/>
  <c r="L68" i="13" s="1"/>
  <c r="M68" i="13" s="1"/>
  <c r="N68" i="13" s="1"/>
  <c r="O68" i="13" s="1"/>
  <c r="P68" i="13" s="1"/>
  <c r="Q68" i="13" s="1"/>
  <c r="R68" i="13" s="1"/>
  <c r="J69" i="13"/>
  <c r="J110" i="13" s="1"/>
  <c r="J71" i="13"/>
  <c r="K71" i="13"/>
  <c r="L71" i="13"/>
  <c r="M71" i="13"/>
  <c r="N71" i="13"/>
  <c r="O71" i="13"/>
  <c r="P71" i="13"/>
  <c r="Q71" i="13"/>
  <c r="R71" i="13"/>
  <c r="S71" i="13"/>
  <c r="T71" i="13"/>
  <c r="J72" i="13"/>
  <c r="J92" i="13" s="1"/>
  <c r="T74" i="13"/>
  <c r="D76" i="13"/>
  <c r="E76" i="13"/>
  <c r="F76" i="13"/>
  <c r="G76" i="13"/>
  <c r="H76" i="13"/>
  <c r="I76" i="13"/>
  <c r="J77" i="13"/>
  <c r="J76" i="13"/>
  <c r="K77" i="13"/>
  <c r="K76" i="13"/>
  <c r="K130" i="13" s="1"/>
  <c r="L77" i="13"/>
  <c r="L76" i="13" s="1"/>
  <c r="L130" i="13" s="1"/>
  <c r="M77" i="13"/>
  <c r="M76" i="13"/>
  <c r="M130" i="13" s="1"/>
  <c r="N77" i="13"/>
  <c r="N76" i="13" s="1"/>
  <c r="N130" i="13" s="1"/>
  <c r="O77" i="13"/>
  <c r="O76" i="13"/>
  <c r="P77" i="13"/>
  <c r="P76" i="13"/>
  <c r="P130" i="13" s="1"/>
  <c r="Q77" i="13"/>
  <c r="Q76" i="13" s="1"/>
  <c r="Q130" i="13" s="1"/>
  <c r="R77" i="13"/>
  <c r="R76" i="13"/>
  <c r="R130" i="13" s="1"/>
  <c r="S77" i="13"/>
  <c r="S76" i="13" s="1"/>
  <c r="S130" i="13" s="1"/>
  <c r="T77" i="13"/>
  <c r="T76" i="13"/>
  <c r="D79" i="13"/>
  <c r="D3" i="19"/>
  <c r="E79" i="13"/>
  <c r="F79" i="13"/>
  <c r="G79" i="13"/>
  <c r="H79" i="13"/>
  <c r="I79" i="13"/>
  <c r="J91" i="13"/>
  <c r="Q93" i="13"/>
  <c r="R93" i="13"/>
  <c r="S93" i="13"/>
  <c r="T93" i="13"/>
  <c r="G103" i="13"/>
  <c r="H103" i="13"/>
  <c r="F103" i="13" s="1"/>
  <c r="I103" i="13"/>
  <c r="J103" i="13"/>
  <c r="K103" i="13"/>
  <c r="L103" i="13" s="1"/>
  <c r="M103" i="13" s="1"/>
  <c r="N103" i="13" s="1"/>
  <c r="O103" i="13" s="1"/>
  <c r="P103" i="13" s="1"/>
  <c r="Q103" i="13" s="1"/>
  <c r="R103" i="13" s="1"/>
  <c r="S103" i="13" s="1"/>
  <c r="T103" i="13" s="1"/>
  <c r="G104" i="13"/>
  <c r="H104" i="13"/>
  <c r="I104" i="13"/>
  <c r="J104" i="13"/>
  <c r="K104" i="13"/>
  <c r="L104" i="13"/>
  <c r="M104" i="13"/>
  <c r="N104" i="13"/>
  <c r="O104" i="13"/>
  <c r="P104" i="13"/>
  <c r="Q104" i="13"/>
  <c r="R104" i="13"/>
  <c r="S104" i="13"/>
  <c r="T104" i="13"/>
  <c r="G105" i="13"/>
  <c r="F105" i="13" s="1"/>
  <c r="H105" i="13"/>
  <c r="I105" i="13"/>
  <c r="J108" i="13"/>
  <c r="G116" i="13"/>
  <c r="H116" i="13"/>
  <c r="I116" i="13"/>
  <c r="J116" i="13"/>
  <c r="K116" i="13"/>
  <c r="L116" i="13" s="1"/>
  <c r="M116" i="13" s="1"/>
  <c r="N116" i="13" s="1"/>
  <c r="O116" i="13" s="1"/>
  <c r="P116" i="13" s="1"/>
  <c r="Q116" i="13" s="1"/>
  <c r="R116" i="13" s="1"/>
  <c r="S116" i="13" s="1"/>
  <c r="T116" i="13" s="1"/>
  <c r="G117" i="13"/>
  <c r="H117" i="13"/>
  <c r="I117" i="13"/>
  <c r="G118" i="13"/>
  <c r="H118" i="13"/>
  <c r="I118" i="13"/>
  <c r="F119" i="13"/>
  <c r="G119" i="13"/>
  <c r="H119" i="13"/>
  <c r="I119" i="13"/>
  <c r="F120" i="13"/>
  <c r="G120" i="13"/>
  <c r="H120" i="13"/>
  <c r="I120" i="13"/>
  <c r="F121" i="13"/>
  <c r="G121" i="13"/>
  <c r="H121" i="13"/>
  <c r="I121" i="13"/>
  <c r="D123" i="13"/>
  <c r="E123" i="13"/>
  <c r="F123" i="13"/>
  <c r="G123" i="13"/>
  <c r="H123" i="13"/>
  <c r="I123" i="13"/>
  <c r="D124" i="13"/>
  <c r="E124" i="13"/>
  <c r="F124" i="13"/>
  <c r="G124" i="13"/>
  <c r="H124" i="13"/>
  <c r="I124" i="13"/>
  <c r="J129" i="13"/>
  <c r="K129" i="13"/>
  <c r="L129" i="13"/>
  <c r="M129" i="13"/>
  <c r="N129" i="13"/>
  <c r="O129" i="13"/>
  <c r="P129" i="13"/>
  <c r="Q129" i="13"/>
  <c r="R129" i="13"/>
  <c r="S129" i="13"/>
  <c r="T129" i="13"/>
  <c r="D149" i="13"/>
  <c r="D148" i="13"/>
  <c r="E149" i="13"/>
  <c r="F149" i="13"/>
  <c r="G149" i="13"/>
  <c r="K153" i="13"/>
  <c r="J156" i="13"/>
  <c r="K156" i="13"/>
  <c r="D16" i="21"/>
  <c r="E16" i="21"/>
  <c r="F16" i="21"/>
  <c r="G16" i="21"/>
  <c r="H16" i="21"/>
  <c r="I16" i="21"/>
  <c r="J16" i="21"/>
  <c r="K16" i="21"/>
  <c r="L16" i="21"/>
  <c r="M16" i="21"/>
  <c r="N16" i="21"/>
  <c r="O16" i="21"/>
  <c r="P16" i="21"/>
  <c r="Q16" i="21"/>
  <c r="R16" i="21"/>
  <c r="S16" i="21"/>
  <c r="Z16" i="21"/>
  <c r="D17" i="21"/>
  <c r="E17" i="21"/>
  <c r="F17" i="21"/>
  <c r="F18" i="21"/>
  <c r="F19" i="21" s="1"/>
  <c r="G17" i="21"/>
  <c r="G18" i="21" s="1"/>
  <c r="H17" i="21"/>
  <c r="H18" i="21"/>
  <c r="I17" i="21"/>
  <c r="J17" i="21"/>
  <c r="K17" i="21"/>
  <c r="L17" i="21"/>
  <c r="L18" i="21" s="1"/>
  <c r="L19" i="21" s="1"/>
  <c r="M17" i="21"/>
  <c r="N17" i="21"/>
  <c r="O17" i="21"/>
  <c r="O18" i="21"/>
  <c r="P17" i="21"/>
  <c r="Q17" i="21"/>
  <c r="R17" i="21"/>
  <c r="S17" i="21"/>
  <c r="S18" i="21" s="1"/>
  <c r="T17" i="21"/>
  <c r="M18" i="21"/>
  <c r="Q18" i="21"/>
  <c r="J23" i="21"/>
  <c r="K23" i="21"/>
  <c r="L23" i="21"/>
  <c r="M23" i="21"/>
  <c r="N23" i="21"/>
  <c r="O23" i="21"/>
  <c r="P23" i="21"/>
  <c r="Q23" i="21"/>
  <c r="R23" i="21"/>
  <c r="S23" i="21"/>
  <c r="T23" i="21"/>
  <c r="U23" i="21"/>
  <c r="W23" i="21"/>
  <c r="J29" i="21"/>
  <c r="K29" i="21"/>
  <c r="L29" i="21"/>
  <c r="M29" i="21"/>
  <c r="U29" i="21"/>
  <c r="N29" i="21"/>
  <c r="O29" i="21"/>
  <c r="P29" i="21"/>
  <c r="Q29" i="21"/>
  <c r="R29" i="21"/>
  <c r="S29" i="21"/>
  <c r="T29" i="21"/>
  <c r="W29" i="21"/>
  <c r="J35" i="21"/>
  <c r="K35" i="21"/>
  <c r="L35" i="21"/>
  <c r="M35" i="21"/>
  <c r="N35" i="21"/>
  <c r="O35" i="21"/>
  <c r="P35" i="21"/>
  <c r="Q35" i="21"/>
  <c r="R35" i="21"/>
  <c r="S35" i="21"/>
  <c r="T35" i="21"/>
  <c r="W35" i="21"/>
  <c r="J42" i="21"/>
  <c r="K42" i="21"/>
  <c r="L42" i="21"/>
  <c r="M42" i="21"/>
  <c r="N42" i="21"/>
  <c r="U42" i="21"/>
  <c r="O42" i="21"/>
  <c r="P42" i="21"/>
  <c r="Q42" i="21"/>
  <c r="R42" i="21"/>
  <c r="S42" i="21"/>
  <c r="T42" i="21"/>
  <c r="W42" i="21" s="1"/>
  <c r="J48" i="21"/>
  <c r="K48" i="21"/>
  <c r="L48" i="21"/>
  <c r="M48" i="21"/>
  <c r="U48" i="21"/>
  <c r="N48" i="21"/>
  <c r="O48" i="21"/>
  <c r="V48" i="21" s="1"/>
  <c r="P48" i="21"/>
  <c r="Q48" i="21"/>
  <c r="R48" i="21"/>
  <c r="S48" i="21"/>
  <c r="T48" i="21"/>
  <c r="W48" i="21" s="1"/>
  <c r="J54" i="21"/>
  <c r="U54" i="21" s="1"/>
  <c r="K54" i="21"/>
  <c r="L54" i="21"/>
  <c r="M54" i="21"/>
  <c r="N54" i="21"/>
  <c r="O54" i="21"/>
  <c r="P54" i="21"/>
  <c r="Q54" i="21"/>
  <c r="R54" i="21"/>
  <c r="S54" i="21"/>
  <c r="T54" i="21"/>
  <c r="W54" i="21"/>
  <c r="J60" i="21"/>
  <c r="K60" i="21"/>
  <c r="L60" i="21"/>
  <c r="M60" i="21"/>
  <c r="N60" i="21"/>
  <c r="O60" i="21"/>
  <c r="P60" i="21"/>
  <c r="Q60" i="21"/>
  <c r="R60" i="21"/>
  <c r="S60" i="21"/>
  <c r="T60" i="21"/>
  <c r="W60" i="21"/>
  <c r="J66" i="21"/>
  <c r="K66" i="21"/>
  <c r="L66" i="21"/>
  <c r="M66" i="21"/>
  <c r="N66" i="21"/>
  <c r="O66" i="21"/>
  <c r="P66" i="21"/>
  <c r="Q66" i="21"/>
  <c r="R66" i="21"/>
  <c r="S66" i="21"/>
  <c r="T66" i="21"/>
  <c r="W66" i="21"/>
  <c r="U69" i="21"/>
  <c r="V69" i="21"/>
  <c r="W69" i="21"/>
  <c r="U70" i="21"/>
  <c r="V70" i="21"/>
  <c r="W70" i="21"/>
  <c r="C5" i="3"/>
  <c r="C4" i="3"/>
  <c r="C22" i="3" s="1"/>
  <c r="D5" i="3"/>
  <c r="D4" i="3"/>
  <c r="E5" i="3"/>
  <c r="E4" i="3"/>
  <c r="E22" i="3" s="1"/>
  <c r="F5" i="3"/>
  <c r="F4" i="3" s="1"/>
  <c r="G5" i="3"/>
  <c r="G4" i="3" s="1"/>
  <c r="G22" i="3" s="1"/>
  <c r="H5" i="3"/>
  <c r="H4" i="3" s="1"/>
  <c r="I5" i="3"/>
  <c r="I4" i="3" s="1"/>
  <c r="I22" i="3" s="1"/>
  <c r="J5" i="3"/>
  <c r="J4" i="3"/>
  <c r="K5" i="3"/>
  <c r="K4" i="3"/>
  <c r="K22" i="3" s="1"/>
  <c r="L5" i="3"/>
  <c r="L4" i="3" s="1"/>
  <c r="M5" i="3"/>
  <c r="M4" i="3" s="1"/>
  <c r="M22" i="3" s="1"/>
  <c r="N5" i="3"/>
  <c r="N4" i="3" s="1"/>
  <c r="O5" i="3"/>
  <c r="O4" i="3" s="1"/>
  <c r="O22" i="3" s="1"/>
  <c r="P5" i="3"/>
  <c r="P4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C9" i="3"/>
  <c r="C8" i="3"/>
  <c r="D9" i="3"/>
  <c r="D8" i="3"/>
  <c r="E9" i="3"/>
  <c r="E8" i="3"/>
  <c r="F9" i="3"/>
  <c r="F8" i="3" s="1"/>
  <c r="G9" i="3"/>
  <c r="G8" i="3" s="1"/>
  <c r="H9" i="3"/>
  <c r="H8" i="3" s="1"/>
  <c r="I9" i="3"/>
  <c r="I8" i="3" s="1"/>
  <c r="J9" i="3"/>
  <c r="J8" i="3" s="1"/>
  <c r="K9" i="3"/>
  <c r="K8" i="3" s="1"/>
  <c r="K30" i="3" s="1"/>
  <c r="L9" i="3"/>
  <c r="L8" i="3"/>
  <c r="M9" i="3"/>
  <c r="M8" i="3"/>
  <c r="N9" i="3"/>
  <c r="N8" i="3"/>
  <c r="N10" i="3"/>
  <c r="O9" i="3"/>
  <c r="O8" i="3" s="1"/>
  <c r="P9" i="3"/>
  <c r="P8" i="3" s="1"/>
  <c r="P10" i="3"/>
  <c r="Q8" i="3"/>
  <c r="Q30" i="3"/>
  <c r="R8" i="3"/>
  <c r="J11" i="3"/>
  <c r="L11" i="3"/>
  <c r="N11" i="3"/>
  <c r="P11" i="3"/>
  <c r="C12" i="3"/>
  <c r="D13" i="3"/>
  <c r="D14" i="3"/>
  <c r="E12" i="3"/>
  <c r="F13" i="3"/>
  <c r="F14" i="3"/>
  <c r="F12" i="3" s="1"/>
  <c r="F29" i="3" s="1"/>
  <c r="G12" i="3"/>
  <c r="H13" i="3"/>
  <c r="H14" i="3"/>
  <c r="H12" i="3"/>
  <c r="H29" i="3" s="1"/>
  <c r="I12" i="3"/>
  <c r="I29" i="3" s="1"/>
  <c r="J13" i="3"/>
  <c r="J12" i="3" s="1"/>
  <c r="J29" i="3" s="1"/>
  <c r="K12" i="3"/>
  <c r="L12" i="3"/>
  <c r="M12" i="3"/>
  <c r="N12" i="3"/>
  <c r="O12" i="3"/>
  <c r="P12" i="3"/>
  <c r="Q12" i="3"/>
  <c r="Q29" i="3"/>
  <c r="R12" i="3"/>
  <c r="R29" i="3" s="1"/>
  <c r="O15" i="3"/>
  <c r="C17" i="3"/>
  <c r="C16" i="3" s="1"/>
  <c r="D17" i="3"/>
  <c r="D19" i="3"/>
  <c r="D20" i="3"/>
  <c r="D18" i="3" s="1"/>
  <c r="D22" i="3"/>
  <c r="E17" i="3"/>
  <c r="E16" i="3" s="1"/>
  <c r="F17" i="3"/>
  <c r="F19" i="3"/>
  <c r="F20" i="3"/>
  <c r="F18" i="3" s="1"/>
  <c r="F22" i="3"/>
  <c r="G17" i="3"/>
  <c r="G16" i="3" s="1"/>
  <c r="H17" i="3"/>
  <c r="H19" i="3"/>
  <c r="H20" i="3"/>
  <c r="H18" i="3" s="1"/>
  <c r="H22" i="3"/>
  <c r="I17" i="3"/>
  <c r="J17" i="3"/>
  <c r="J19" i="3"/>
  <c r="J18" i="3" s="1"/>
  <c r="J20" i="3"/>
  <c r="J22" i="3"/>
  <c r="K17" i="3"/>
  <c r="L17" i="3"/>
  <c r="L19" i="3"/>
  <c r="L20" i="3"/>
  <c r="L18" i="3" s="1"/>
  <c r="L22" i="3"/>
  <c r="M17" i="3"/>
  <c r="M16" i="3" s="1"/>
  <c r="N17" i="3"/>
  <c r="N16" i="3" s="1"/>
  <c r="N22" i="3"/>
  <c r="O17" i="3"/>
  <c r="O16" i="3"/>
  <c r="P17" i="3"/>
  <c r="P19" i="3"/>
  <c r="P20" i="3"/>
  <c r="P18" i="3"/>
  <c r="P22" i="3"/>
  <c r="C19" i="3"/>
  <c r="E19" i="3"/>
  <c r="G19" i="3"/>
  <c r="I19" i="3"/>
  <c r="K19" i="3"/>
  <c r="M19" i="3"/>
  <c r="N19" i="3"/>
  <c r="O19" i="3"/>
  <c r="Q19" i="3"/>
  <c r="R19" i="3"/>
  <c r="R18" i="3"/>
  <c r="R21" i="3" s="1"/>
  <c r="C20" i="3"/>
  <c r="E20" i="3"/>
  <c r="G20" i="3"/>
  <c r="I20" i="3"/>
  <c r="K20" i="3"/>
  <c r="M20" i="3"/>
  <c r="N20" i="3"/>
  <c r="O20" i="3"/>
  <c r="C21" i="3"/>
  <c r="E21" i="3"/>
  <c r="G21" i="3"/>
  <c r="I21" i="3"/>
  <c r="K21" i="3"/>
  <c r="M21" i="3"/>
  <c r="N21" i="3"/>
  <c r="O21" i="3"/>
  <c r="Q21" i="3"/>
  <c r="C23" i="3"/>
  <c r="D24" i="3"/>
  <c r="D25" i="3"/>
  <c r="D23" i="3"/>
  <c r="D26" i="3"/>
  <c r="E23" i="3"/>
  <c r="F25" i="3"/>
  <c r="H25" i="3"/>
  <c r="J25" i="3" s="1"/>
  <c r="G23" i="3"/>
  <c r="H24" i="3"/>
  <c r="H26" i="3"/>
  <c r="J26" i="3" s="1"/>
  <c r="L26" i="3" s="1"/>
  <c r="I23" i="3"/>
  <c r="K23" i="3"/>
  <c r="M23" i="3"/>
  <c r="N23" i="3"/>
  <c r="O25" i="3"/>
  <c r="O23" i="3"/>
  <c r="P25" i="3"/>
  <c r="P23" i="3"/>
  <c r="Q23" i="3"/>
  <c r="R23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D31" i="3"/>
  <c r="F31" i="3"/>
  <c r="H31" i="3"/>
  <c r="J31" i="3"/>
  <c r="L31" i="3"/>
  <c r="M31" i="3"/>
  <c r="N31" i="3"/>
  <c r="P31" i="3"/>
  <c r="Q31" i="3"/>
  <c r="R31" i="3"/>
  <c r="O32" i="3"/>
  <c r="M32" i="3"/>
  <c r="K32" i="3" s="1"/>
  <c r="I32" i="3" s="1"/>
  <c r="G32" i="3" s="1"/>
  <c r="E32" i="3" s="1"/>
  <c r="C32" i="3" s="1"/>
  <c r="P32" i="3"/>
  <c r="N32" i="3" s="1"/>
  <c r="L32" i="3" s="1"/>
  <c r="J32" i="3" s="1"/>
  <c r="H32" i="3" s="1"/>
  <c r="F32" i="3" s="1"/>
  <c r="D32" i="3" s="1"/>
  <c r="O33" i="3"/>
  <c r="M33" i="3"/>
  <c r="K33" i="3" s="1"/>
  <c r="I33" i="3" s="1"/>
  <c r="G33" i="3" s="1"/>
  <c r="E33" i="3" s="1"/>
  <c r="C33" i="3" s="1"/>
  <c r="P33" i="3"/>
  <c r="N33" i="3" s="1"/>
  <c r="L33" i="3" s="1"/>
  <c r="J33" i="3" s="1"/>
  <c r="H33" i="3" s="1"/>
  <c r="F33" i="3" s="1"/>
  <c r="D33" i="3" s="1"/>
  <c r="O34" i="3"/>
  <c r="M34" i="3"/>
  <c r="K34" i="3" s="1"/>
  <c r="I34" i="3" s="1"/>
  <c r="G34" i="3" s="1"/>
  <c r="E34" i="3" s="1"/>
  <c r="C34" i="3" s="1"/>
  <c r="P34" i="3"/>
  <c r="N34" i="3" s="1"/>
  <c r="L34" i="3" s="1"/>
  <c r="J34" i="3" s="1"/>
  <c r="H34" i="3" s="1"/>
  <c r="F34" i="3" s="1"/>
  <c r="D34" i="3" s="1"/>
  <c r="C8" i="4"/>
  <c r="D8" i="4"/>
  <c r="D30" i="4" s="1"/>
  <c r="E8" i="4"/>
  <c r="F8" i="4"/>
  <c r="F30" i="4"/>
  <c r="H8" i="4"/>
  <c r="H30" i="4"/>
  <c r="J8" i="4"/>
  <c r="L8" i="4"/>
  <c r="N8" i="4"/>
  <c r="N30" i="4"/>
  <c r="P8" i="4"/>
  <c r="P30" i="4"/>
  <c r="R8" i="4"/>
  <c r="R30" i="4"/>
  <c r="G10" i="4"/>
  <c r="G8" i="4"/>
  <c r="G30" i="4" s="1"/>
  <c r="I10" i="4"/>
  <c r="I8" i="4" s="1"/>
  <c r="K10" i="4"/>
  <c r="K8" i="4" s="1"/>
  <c r="K30" i="4" s="1"/>
  <c r="M10" i="4"/>
  <c r="M8" i="4"/>
  <c r="O10" i="4"/>
  <c r="O8" i="4"/>
  <c r="O30" i="4" s="1"/>
  <c r="Q10" i="4"/>
  <c r="Q8" i="4" s="1"/>
  <c r="G11" i="4"/>
  <c r="I11" i="4"/>
  <c r="K11" i="4"/>
  <c r="M11" i="4"/>
  <c r="M11" i="3" s="1"/>
  <c r="O11" i="4"/>
  <c r="O11" i="3" s="1"/>
  <c r="Q11" i="4"/>
  <c r="D12" i="4"/>
  <c r="D29" i="4"/>
  <c r="E12" i="4"/>
  <c r="E29" i="4"/>
  <c r="F12" i="4"/>
  <c r="F29" i="4"/>
  <c r="G12" i="4"/>
  <c r="G29" i="4"/>
  <c r="H12" i="4"/>
  <c r="H29" i="4"/>
  <c r="I12" i="4"/>
  <c r="J12" i="4"/>
  <c r="J29" i="4" s="1"/>
  <c r="K12" i="4"/>
  <c r="K29" i="4" s="1"/>
  <c r="L12" i="4"/>
  <c r="M12" i="4"/>
  <c r="N12" i="4"/>
  <c r="O12" i="4"/>
  <c r="O29" i="4"/>
  <c r="P12" i="4"/>
  <c r="P29" i="4"/>
  <c r="Q12" i="4"/>
  <c r="R12" i="4"/>
  <c r="R29" i="4"/>
  <c r="C14" i="4"/>
  <c r="C12" i="4"/>
  <c r="C29" i="4" s="1"/>
  <c r="C15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C30" i="4"/>
  <c r="E30" i="4"/>
  <c r="J30" i="4"/>
  <c r="C31" i="4"/>
  <c r="C31" i="3" s="1"/>
  <c r="E31" i="4"/>
  <c r="E31" i="3" s="1"/>
  <c r="G31" i="4"/>
  <c r="G31" i="3" s="1"/>
  <c r="I31" i="4"/>
  <c r="I31" i="3" s="1"/>
  <c r="K31" i="4"/>
  <c r="K31" i="3" s="1"/>
  <c r="O31" i="4"/>
  <c r="O31" i="3" s="1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C4" i="7"/>
  <c r="D4" i="7"/>
  <c r="E4" i="7"/>
  <c r="F4" i="7"/>
  <c r="G4" i="7"/>
  <c r="H4" i="7"/>
  <c r="I4" i="7"/>
  <c r="J4" i="7"/>
  <c r="C8" i="7"/>
  <c r="D8" i="7"/>
  <c r="E8" i="7"/>
  <c r="F8" i="7"/>
  <c r="G8" i="7"/>
  <c r="H8" i="7"/>
  <c r="I8" i="7"/>
  <c r="J8" i="7"/>
  <c r="C12" i="7"/>
  <c r="D12" i="7"/>
  <c r="E12" i="7"/>
  <c r="F12" i="7"/>
  <c r="G12" i="7"/>
  <c r="H12" i="7"/>
  <c r="I12" i="7"/>
  <c r="J12" i="7"/>
  <c r="C16" i="7"/>
  <c r="D16" i="7"/>
  <c r="E16" i="7"/>
  <c r="F16" i="7"/>
  <c r="G16" i="7"/>
  <c r="H16" i="7"/>
  <c r="I16" i="7"/>
  <c r="J16" i="7"/>
  <c r="C23" i="7"/>
  <c r="D23" i="7"/>
  <c r="E23" i="7"/>
  <c r="F23" i="7"/>
  <c r="G23" i="7"/>
  <c r="H23" i="7"/>
  <c r="I23" i="7"/>
  <c r="J23" i="7"/>
  <c r="T43" i="13"/>
  <c r="P43" i="13"/>
  <c r="N43" i="13"/>
  <c r="S24" i="13"/>
  <c r="O24" i="13"/>
  <c r="K24" i="13"/>
  <c r="K68" i="14"/>
  <c r="J105" i="14"/>
  <c r="Q38" i="14"/>
  <c r="Q61" i="14"/>
  <c r="Q63" i="14" s="1"/>
  <c r="O61" i="14"/>
  <c r="O63" i="14" s="1"/>
  <c r="M38" i="14"/>
  <c r="M61" i="14"/>
  <c r="M63" i="14"/>
  <c r="K61" i="14"/>
  <c r="K63" i="14"/>
  <c r="AG63" i="14"/>
  <c r="S23" i="13"/>
  <c r="S35" i="13"/>
  <c r="Q23" i="13"/>
  <c r="Q35" i="13"/>
  <c r="O23" i="13"/>
  <c r="O35" i="13"/>
  <c r="M23" i="13"/>
  <c r="M35" i="13"/>
  <c r="M34" i="13"/>
  <c r="M44" i="13" s="1"/>
  <c r="K23" i="13"/>
  <c r="K35" i="13"/>
  <c r="Q21" i="13"/>
  <c r="M21" i="13"/>
  <c r="F8" i="13"/>
  <c r="D8" i="13"/>
  <c r="K73" i="14"/>
  <c r="K90" i="14" s="1"/>
  <c r="AH73" i="14"/>
  <c r="K70" i="14"/>
  <c r="J95" i="14"/>
  <c r="S52" i="14"/>
  <c r="T45" i="14"/>
  <c r="S36" i="14"/>
  <c r="O36" i="14"/>
  <c r="H32" i="15"/>
  <c r="F37" i="15"/>
  <c r="D37" i="15"/>
  <c r="E37" i="15"/>
  <c r="R55" i="15"/>
  <c r="N55" i="15"/>
  <c r="Q41" i="15"/>
  <c r="K41" i="15"/>
  <c r="R34" i="15"/>
  <c r="P34" i="15"/>
  <c r="L34" i="15"/>
  <c r="J34" i="15"/>
  <c r="L99" i="16"/>
  <c r="T33" i="16"/>
  <c r="T35" i="16"/>
  <c r="S33" i="16"/>
  <c r="S35" i="16"/>
  <c r="R33" i="16"/>
  <c r="R35" i="16"/>
  <c r="Q35" i="16"/>
  <c r="P33" i="16"/>
  <c r="P35" i="16"/>
  <c r="O33" i="16"/>
  <c r="N33" i="16"/>
  <c r="N35" i="16"/>
  <c r="M35" i="16"/>
  <c r="L33" i="16"/>
  <c r="L35" i="16"/>
  <c r="L37" i="16"/>
  <c r="L39" i="16"/>
  <c r="T278" i="20"/>
  <c r="R278" i="20"/>
  <c r="P278" i="20"/>
  <c r="S31" i="20"/>
  <c r="S30" i="20"/>
  <c r="O30" i="20"/>
  <c r="K31" i="20"/>
  <c r="G31" i="20"/>
  <c r="G30" i="20"/>
  <c r="E31" i="20"/>
  <c r="E30" i="20"/>
  <c r="I24" i="20"/>
  <c r="G24" i="20"/>
  <c r="E24" i="20"/>
  <c r="K156" i="20"/>
  <c r="K16" i="20" s="1"/>
  <c r="F131" i="20"/>
  <c r="F18" i="20" s="1"/>
  <c r="F11" i="20" s="1"/>
  <c r="P12" i="20"/>
  <c r="P11" i="20" s="1"/>
  <c r="N12" i="20"/>
  <c r="N11" i="20" s="1"/>
  <c r="J128" i="20"/>
  <c r="J127" i="20" s="1"/>
  <c r="G12" i="20"/>
  <c r="G11" i="20" s="1"/>
  <c r="E12" i="20"/>
  <c r="T127" i="20"/>
  <c r="R127" i="20"/>
  <c r="P127" i="20"/>
  <c r="N127" i="20"/>
  <c r="L127" i="20"/>
  <c r="T30" i="20"/>
  <c r="T31" i="20"/>
  <c r="R30" i="20"/>
  <c r="R31" i="20"/>
  <c r="P30" i="20"/>
  <c r="P31" i="20"/>
  <c r="L30" i="20"/>
  <c r="H30" i="20"/>
  <c r="H31" i="20"/>
  <c r="F30" i="20"/>
  <c r="F31" i="20"/>
  <c r="D31" i="20"/>
  <c r="H24" i="20"/>
  <c r="D24" i="20"/>
  <c r="J154" i="20"/>
  <c r="J153" i="20"/>
  <c r="I131" i="20"/>
  <c r="I18" i="20"/>
  <c r="G131" i="20"/>
  <c r="G18" i="20"/>
  <c r="E131" i="20"/>
  <c r="E18" i="20" s="1"/>
  <c r="E11" i="20" s="1"/>
  <c r="S12" i="20"/>
  <c r="S11" i="20"/>
  <c r="Q12" i="20"/>
  <c r="Q11" i="20"/>
  <c r="O12" i="20"/>
  <c r="O11" i="20"/>
  <c r="M12" i="20"/>
  <c r="M11" i="20"/>
  <c r="H12" i="20"/>
  <c r="S127" i="20"/>
  <c r="Q127" i="20"/>
  <c r="O127" i="20"/>
  <c r="M127" i="20"/>
  <c r="K127" i="20"/>
  <c r="H99" i="16"/>
  <c r="I91" i="16"/>
  <c r="M99" i="16"/>
  <c r="M91" i="16"/>
  <c r="L73" i="14"/>
  <c r="K39" i="14"/>
  <c r="O45" i="14"/>
  <c r="S44" i="14"/>
  <c r="S41" i="14"/>
  <c r="I127" i="20"/>
  <c r="G127" i="20"/>
  <c r="M60" i="13"/>
  <c r="M62" i="13" s="1"/>
  <c r="N37" i="13"/>
  <c r="N34" i="13" s="1"/>
  <c r="N27" i="13"/>
  <c r="R53" i="16"/>
  <c r="R57" i="16"/>
  <c r="R61" i="16"/>
  <c r="R54" i="16"/>
  <c r="R58" i="16"/>
  <c r="R62" i="16"/>
  <c r="R60" i="16"/>
  <c r="R56" i="16"/>
  <c r="R63" i="16"/>
  <c r="R55" i="16"/>
  <c r="N57" i="16"/>
  <c r="N54" i="16"/>
  <c r="N62" i="16"/>
  <c r="N60" i="16"/>
  <c r="J53" i="16"/>
  <c r="J57" i="16"/>
  <c r="J61" i="16"/>
  <c r="J54" i="16"/>
  <c r="J58" i="16"/>
  <c r="J62" i="16"/>
  <c r="J60" i="16"/>
  <c r="J56" i="16"/>
  <c r="J59" i="16"/>
  <c r="S77" i="18"/>
  <c r="S80" i="18"/>
  <c r="T77" i="18"/>
  <c r="K77" i="18"/>
  <c r="K80" i="18"/>
  <c r="L77" i="18"/>
  <c r="T129" i="16"/>
  <c r="J106" i="16"/>
  <c r="J130" i="16"/>
  <c r="K76" i="16"/>
  <c r="J102" i="16"/>
  <c r="J125" i="16"/>
  <c r="S102" i="16"/>
  <c r="S125" i="16"/>
  <c r="O108" i="16"/>
  <c r="J69" i="16"/>
  <c r="K69" i="16"/>
  <c r="K126" i="16" s="1"/>
  <c r="O51" i="14"/>
  <c r="K69" i="13"/>
  <c r="J128" i="13"/>
  <c r="R53" i="15"/>
  <c r="R57" i="15"/>
  <c r="R59" i="15"/>
  <c r="R54" i="15"/>
  <c r="O53" i="15"/>
  <c r="O55" i="15"/>
  <c r="O57" i="15"/>
  <c r="T55" i="16"/>
  <c r="T59" i="16"/>
  <c r="T63" i="16"/>
  <c r="T56" i="16"/>
  <c r="T60" i="16"/>
  <c r="T54" i="16"/>
  <c r="T62" i="16"/>
  <c r="T58" i="16"/>
  <c r="T53" i="16"/>
  <c r="T61" i="16"/>
  <c r="S37" i="16"/>
  <c r="S41" i="16"/>
  <c r="S45" i="16"/>
  <c r="S49" i="16"/>
  <c r="S28" i="16"/>
  <c r="S40" i="16"/>
  <c r="S44" i="16"/>
  <c r="S48" i="16"/>
  <c r="S34" i="16"/>
  <c r="S32" i="16" s="1"/>
  <c r="S42" i="16"/>
  <c r="S50" i="16"/>
  <c r="S38" i="16"/>
  <c r="S46" i="16"/>
  <c r="S51" i="16"/>
  <c r="S43" i="16"/>
  <c r="P55" i="16"/>
  <c r="P59" i="16"/>
  <c r="P63" i="16"/>
  <c r="P56" i="16"/>
  <c r="P60" i="16"/>
  <c r="P58" i="16"/>
  <c r="P54" i="16"/>
  <c r="P62" i="16"/>
  <c r="P61" i="16"/>
  <c r="P53" i="16"/>
  <c r="O41" i="16"/>
  <c r="O49" i="16"/>
  <c r="O40" i="16"/>
  <c r="O48" i="16"/>
  <c r="O50" i="16"/>
  <c r="O46" i="16"/>
  <c r="O51" i="16"/>
  <c r="L55" i="16"/>
  <c r="L59" i="16"/>
  <c r="L63" i="16"/>
  <c r="L56" i="16"/>
  <c r="L60" i="16"/>
  <c r="L54" i="16"/>
  <c r="L62" i="16"/>
  <c r="L58" i="16"/>
  <c r="L53" i="16"/>
  <c r="L61" i="16"/>
  <c r="J25" i="16"/>
  <c r="J31" i="16"/>
  <c r="J65" i="16"/>
  <c r="J67" i="16"/>
  <c r="R153" i="20"/>
  <c r="R12" i="20"/>
  <c r="R11" i="20" s="1"/>
  <c r="G83" i="16"/>
  <c r="X80" i="16"/>
  <c r="Z80" i="16"/>
  <c r="H83" i="16"/>
  <c r="H81" i="16"/>
  <c r="N59" i="16"/>
  <c r="N55" i="16"/>
  <c r="M43" i="14"/>
  <c r="E127" i="20"/>
  <c r="U60" i="21"/>
  <c r="F117" i="13"/>
  <c r="N21" i="13"/>
  <c r="N63" i="16"/>
  <c r="O102" i="21"/>
  <c r="Q27" i="13"/>
  <c r="Q28" i="13"/>
  <c r="J53" i="15"/>
  <c r="J59" i="15"/>
  <c r="Q37" i="16"/>
  <c r="Q36" i="16" s="1"/>
  <c r="Q41" i="16"/>
  <c r="Q45" i="16"/>
  <c r="Q49" i="16"/>
  <c r="Q28" i="16"/>
  <c r="Q34" i="16"/>
  <c r="Q40" i="16"/>
  <c r="Q44" i="16"/>
  <c r="Q48" i="16"/>
  <c r="Q42" i="16"/>
  <c r="Q50" i="16"/>
  <c r="Q38" i="16"/>
  <c r="Q46" i="16"/>
  <c r="Q51" i="16"/>
  <c r="Q43" i="16"/>
  <c r="M37" i="16"/>
  <c r="M41" i="16"/>
  <c r="M45" i="16"/>
  <c r="M49" i="16"/>
  <c r="M28" i="16"/>
  <c r="M34" i="16"/>
  <c r="M40" i="16"/>
  <c r="M44" i="16"/>
  <c r="M48" i="16"/>
  <c r="M42" i="16"/>
  <c r="M50" i="16"/>
  <c r="M38" i="16"/>
  <c r="M46" i="16"/>
  <c r="M43" i="16"/>
  <c r="M51" i="16"/>
  <c r="O77" i="18"/>
  <c r="O80" i="18"/>
  <c r="P77" i="18"/>
  <c r="F249" i="20"/>
  <c r="F24" i="20"/>
  <c r="K75" i="15"/>
  <c r="J108" i="15"/>
  <c r="J98" i="15"/>
  <c r="R18" i="21"/>
  <c r="R19" i="21"/>
  <c r="U17" i="21"/>
  <c r="X17" i="21"/>
  <c r="J18" i="21"/>
  <c r="J19" i="21"/>
  <c r="T42" i="14"/>
  <c r="K42" i="15"/>
  <c r="K47" i="15"/>
  <c r="K39" i="15"/>
  <c r="K40" i="15"/>
  <c r="K50" i="15"/>
  <c r="K48" i="15"/>
  <c r="K49" i="15"/>
  <c r="K44" i="15"/>
  <c r="K37" i="15"/>
  <c r="K43" i="15"/>
  <c r="K104" i="16"/>
  <c r="H19" i="21"/>
  <c r="Q37" i="13"/>
  <c r="Q34" i="13" s="1"/>
  <c r="M33" i="16"/>
  <c r="M32" i="16" s="1"/>
  <c r="Q33" i="16"/>
  <c r="Q32" i="16" s="1"/>
  <c r="H76" i="15"/>
  <c r="N29" i="4"/>
  <c r="U35" i="21"/>
  <c r="V23" i="21"/>
  <c r="N28" i="13"/>
  <c r="AH77" i="14"/>
  <c r="J32" i="15"/>
  <c r="R59" i="16"/>
  <c r="J55" i="16"/>
  <c r="M47" i="16"/>
  <c r="J89" i="13"/>
  <c r="J109" i="13"/>
  <c r="T21" i="13"/>
  <c r="V19" i="13" s="1"/>
  <c r="AH70" i="14"/>
  <c r="J106" i="14"/>
  <c r="T98" i="15"/>
  <c r="T108" i="15"/>
  <c r="L74" i="15"/>
  <c r="L107" i="15" s="1"/>
  <c r="N57" i="15"/>
  <c r="N53" i="15"/>
  <c r="N59" i="15"/>
  <c r="K53" i="15"/>
  <c r="K55" i="15"/>
  <c r="K58" i="15"/>
  <c r="K54" i="15"/>
  <c r="K56" i="15"/>
  <c r="K91" i="16"/>
  <c r="K100" i="16"/>
  <c r="O24" i="20"/>
  <c r="O278" i="20"/>
  <c r="I153" i="20"/>
  <c r="I12" i="20"/>
  <c r="I11" i="20"/>
  <c r="N125" i="16"/>
  <c r="S108" i="16"/>
  <c r="R108" i="16"/>
  <c r="S132" i="16"/>
  <c r="K94" i="16"/>
  <c r="K95" i="16"/>
  <c r="K90" i="16" s="1"/>
  <c r="K87" i="16" s="1"/>
  <c r="L13" i="16"/>
  <c r="J91" i="16"/>
  <c r="J100" i="16"/>
  <c r="V42" i="21"/>
  <c r="F104" i="13"/>
  <c r="Q51" i="13"/>
  <c r="AH68" i="14"/>
  <c r="J122" i="20"/>
  <c r="G278" i="20"/>
  <c r="M27" i="13"/>
  <c r="M28" i="13"/>
  <c r="I76" i="15"/>
  <c r="S53" i="15"/>
  <c r="S55" i="15"/>
  <c r="S58" i="15"/>
  <c r="S54" i="15"/>
  <c r="S56" i="15"/>
  <c r="M38" i="15"/>
  <c r="P43" i="15"/>
  <c r="K108" i="16"/>
  <c r="K132" i="16"/>
  <c r="J107" i="16"/>
  <c r="K78" i="16"/>
  <c r="J131" i="16"/>
  <c r="I83" i="16"/>
  <c r="J108" i="16"/>
  <c r="S19" i="21"/>
  <c r="G19" i="21"/>
  <c r="G8" i="13"/>
  <c r="T37" i="16"/>
  <c r="T41" i="16"/>
  <c r="T45" i="16"/>
  <c r="T49" i="16"/>
  <c r="T28" i="16"/>
  <c r="T40" i="16"/>
  <c r="T44" i="16"/>
  <c r="T48" i="16"/>
  <c r="Q56" i="16"/>
  <c r="Q60" i="16"/>
  <c r="Q53" i="16"/>
  <c r="Q57" i="16"/>
  <c r="Q61" i="16"/>
  <c r="P37" i="16"/>
  <c r="P41" i="16"/>
  <c r="P45" i="16"/>
  <c r="P49" i="16"/>
  <c r="P28" i="16"/>
  <c r="P40" i="16"/>
  <c r="P44" i="16"/>
  <c r="P48" i="16"/>
  <c r="M56" i="16"/>
  <c r="M60" i="16"/>
  <c r="M53" i="16"/>
  <c r="M57" i="16"/>
  <c r="M61" i="16"/>
  <c r="L40" i="16"/>
  <c r="L44" i="16"/>
  <c r="L48" i="16"/>
  <c r="L28" i="16"/>
  <c r="L38" i="16"/>
  <c r="L36" i="16" s="1"/>
  <c r="L43" i="16"/>
  <c r="L47" i="16"/>
  <c r="L51" i="16"/>
  <c r="M278" i="20"/>
  <c r="M24" i="20"/>
  <c r="T65" i="16"/>
  <c r="T67" i="16"/>
  <c r="T25" i="16"/>
  <c r="L65" i="16"/>
  <c r="L67" i="16" s="1"/>
  <c r="L25" i="16"/>
  <c r="L70" i="16"/>
  <c r="K127" i="16"/>
  <c r="O74" i="16"/>
  <c r="H28" i="16"/>
  <c r="D28" i="16"/>
  <c r="R77" i="18"/>
  <c r="N77" i="18"/>
  <c r="N22" i="18"/>
  <c r="P122" i="20"/>
  <c r="H122" i="20"/>
  <c r="D278" i="20"/>
  <c r="D23" i="20"/>
  <c r="N102" i="16"/>
  <c r="Q102" i="21"/>
  <c r="J102" i="21"/>
  <c r="S54" i="16"/>
  <c r="S58" i="16"/>
  <c r="S62" i="16"/>
  <c r="S55" i="16"/>
  <c r="S59" i="16"/>
  <c r="S63" i="16"/>
  <c r="R34" i="16"/>
  <c r="R32" i="16"/>
  <c r="R37" i="16"/>
  <c r="R41" i="16"/>
  <c r="R45" i="16"/>
  <c r="R49" i="16"/>
  <c r="R28" i="16"/>
  <c r="R40" i="16"/>
  <c r="R44" i="16"/>
  <c r="R48" i="16"/>
  <c r="O54" i="16"/>
  <c r="O58" i="16"/>
  <c r="O62" i="16"/>
  <c r="O55" i="16"/>
  <c r="O59" i="16"/>
  <c r="O63" i="16"/>
  <c r="N34" i="16"/>
  <c r="N37" i="16"/>
  <c r="N41" i="16"/>
  <c r="N45" i="16"/>
  <c r="N49" i="16"/>
  <c r="N28" i="16"/>
  <c r="N40" i="16"/>
  <c r="N44" i="16"/>
  <c r="N48" i="16"/>
  <c r="K54" i="16"/>
  <c r="K58" i="16"/>
  <c r="K62" i="16"/>
  <c r="K55" i="16"/>
  <c r="K59" i="16"/>
  <c r="K63" i="16"/>
  <c r="P108" i="16"/>
  <c r="Q61" i="15"/>
  <c r="Q63" i="15"/>
  <c r="Q56" i="15"/>
  <c r="Q48" i="15"/>
  <c r="Q46" i="15"/>
  <c r="Q40" i="15"/>
  <c r="Q63" i="16"/>
  <c r="M59" i="16"/>
  <c r="Q55" i="16"/>
  <c r="T50" i="16"/>
  <c r="T42" i="16"/>
  <c r="P50" i="16"/>
  <c r="P42" i="16"/>
  <c r="L49" i="16"/>
  <c r="L41" i="16"/>
  <c r="F28" i="16"/>
  <c r="T80" i="18"/>
  <c r="P80" i="18"/>
  <c r="L80" i="18"/>
  <c r="F22" i="18"/>
  <c r="T122" i="20"/>
  <c r="L122" i="20"/>
  <c r="D122" i="20"/>
  <c r="F278" i="20"/>
  <c r="F23" i="20" s="1"/>
  <c r="E249" i="20"/>
  <c r="L108" i="16"/>
  <c r="M102" i="21"/>
  <c r="U102" i="21" s="1"/>
  <c r="K130" i="16"/>
  <c r="K106" i="16"/>
  <c r="L76" i="16"/>
  <c r="L78" i="16"/>
  <c r="L107" i="16"/>
  <c r="M42" i="15"/>
  <c r="J126" i="16"/>
  <c r="O105" i="16"/>
  <c r="K108" i="15"/>
  <c r="K98" i="15"/>
  <c r="L75" i="15"/>
  <c r="L108" i="15" s="1"/>
  <c r="S36" i="16"/>
  <c r="M13" i="16"/>
  <c r="M94" i="16"/>
  <c r="M95" i="16" s="1"/>
  <c r="M90" i="16" s="1"/>
  <c r="L94" i="16"/>
  <c r="L95" i="16"/>
  <c r="L90" i="16" s="1"/>
  <c r="M109" i="16"/>
  <c r="L97" i="15"/>
  <c r="J28" i="16"/>
  <c r="J46" i="16"/>
  <c r="J41" i="16"/>
  <c r="J39" i="16"/>
  <c r="J33" i="16"/>
  <c r="K91" i="13"/>
  <c r="K110" i="13"/>
  <c r="L69" i="13"/>
  <c r="K128" i="13"/>
  <c r="O19" i="21"/>
  <c r="H5" i="19"/>
  <c r="L69" i="16"/>
  <c r="L91" i="13"/>
  <c r="L110" i="13"/>
  <c r="M69" i="13"/>
  <c r="N69" i="13" s="1"/>
  <c r="N128" i="13" s="1"/>
  <c r="L128" i="13"/>
  <c r="M75" i="15"/>
  <c r="L131" i="16"/>
  <c r="F23" i="3"/>
  <c r="I30" i="3"/>
  <c r="O29" i="3"/>
  <c r="O30" i="3"/>
  <c r="M30" i="3"/>
  <c r="M29" i="3"/>
  <c r="P21" i="3"/>
  <c r="H23" i="3"/>
  <c r="K29" i="3"/>
  <c r="L66" i="16"/>
  <c r="P32" i="16"/>
  <c r="K72" i="13"/>
  <c r="K51" i="13"/>
  <c r="S27" i="13"/>
  <c r="T23" i="13"/>
  <c r="R24" i="13"/>
  <c r="R35" i="13"/>
  <c r="N23" i="13"/>
  <c r="N24" i="13"/>
  <c r="E8" i="13"/>
  <c r="K63" i="13"/>
  <c r="J65" i="13"/>
  <c r="S51" i="13"/>
  <c r="S21" i="13"/>
  <c r="V20" i="13"/>
  <c r="Q45" i="15"/>
  <c r="Q44" i="15"/>
  <c r="R38" i="15"/>
  <c r="R37" i="15"/>
  <c r="R32" i="15"/>
  <c r="M32" i="15"/>
  <c r="K32" i="15"/>
  <c r="Q43" i="15"/>
  <c r="Q37" i="15"/>
  <c r="K56" i="16"/>
  <c r="O47" i="16"/>
  <c r="L45" i="16"/>
  <c r="T34" i="16"/>
  <c r="T32" i="16"/>
  <c r="T39" i="16"/>
  <c r="T46" i="16"/>
  <c r="T51" i="16"/>
  <c r="S57" i="16"/>
  <c r="S61" i="16"/>
  <c r="R39" i="16"/>
  <c r="R43" i="16"/>
  <c r="R47" i="16"/>
  <c r="R51" i="16"/>
  <c r="Q59" i="16"/>
  <c r="Q62" i="16"/>
  <c r="J96" i="14"/>
  <c r="I39" i="14"/>
  <c r="P38" i="14"/>
  <c r="P45" i="14" s="1"/>
  <c r="J107" i="15"/>
  <c r="J105" i="15"/>
  <c r="J97" i="15"/>
  <c r="J93" i="15"/>
  <c r="K59" i="15"/>
  <c r="M58" i="15"/>
  <c r="T57" i="15"/>
  <c r="M57" i="15"/>
  <c r="M55" i="15"/>
  <c r="M54" i="15"/>
  <c r="J54" i="15"/>
  <c r="Q51" i="15"/>
  <c r="Q50" i="15"/>
  <c r="Q42" i="15"/>
  <c r="Q39" i="15"/>
  <c r="J40" i="15"/>
  <c r="Q32" i="15"/>
  <c r="J37" i="15"/>
  <c r="J43" i="15"/>
  <c r="Q47" i="16"/>
  <c r="Q39" i="16"/>
  <c r="L42" i="16"/>
  <c r="L46" i="16"/>
  <c r="K57" i="16"/>
  <c r="K61" i="16"/>
  <c r="O66" i="16"/>
  <c r="O67" i="16"/>
  <c r="E81" i="16"/>
  <c r="E3" i="19" s="1"/>
  <c r="E5" i="19"/>
  <c r="M77" i="18"/>
  <c r="P41" i="14"/>
  <c r="L72" i="13"/>
  <c r="K92" i="13"/>
  <c r="M125" i="16"/>
  <c r="R40" i="15"/>
  <c r="R41" i="15"/>
  <c r="R42" i="15"/>
  <c r="R47" i="15"/>
  <c r="R48" i="15"/>
  <c r="R50" i="15"/>
  <c r="R51" i="15"/>
  <c r="R39" i="15"/>
  <c r="R49" i="15"/>
  <c r="R44" i="15"/>
  <c r="R46" i="15"/>
  <c r="R45" i="15"/>
  <c r="K65" i="13"/>
  <c r="L63" i="13"/>
  <c r="M63" i="13"/>
  <c r="M65" i="13" s="1"/>
  <c r="L65" i="13"/>
  <c r="M72" i="13"/>
  <c r="N72" i="13"/>
  <c r="L92" i="13"/>
  <c r="P39" i="14"/>
  <c r="P42" i="14"/>
  <c r="L126" i="16"/>
  <c r="M69" i="16"/>
  <c r="T36" i="16"/>
  <c r="M47" i="15"/>
  <c r="M74" i="15"/>
  <c r="M97" i="15"/>
  <c r="O49" i="14"/>
  <c r="M73" i="14"/>
  <c r="N73" i="14" s="1"/>
  <c r="L90" i="14"/>
  <c r="N99" i="16"/>
  <c r="N95" i="16" s="1"/>
  <c r="N90" i="16" s="1"/>
  <c r="O44" i="14"/>
  <c r="O43" i="14"/>
  <c r="O42" i="14"/>
  <c r="Q42" i="14"/>
  <c r="G30" i="3"/>
  <c r="G29" i="3"/>
  <c r="E30" i="3"/>
  <c r="E29" i="3"/>
  <c r="O130" i="13"/>
  <c r="K89" i="13"/>
  <c r="L67" i="13"/>
  <c r="K109" i="13"/>
  <c r="R51" i="13"/>
  <c r="N51" i="13"/>
  <c r="K43" i="13"/>
  <c r="H62" i="13"/>
  <c r="H45" i="13"/>
  <c r="K28" i="13"/>
  <c r="K21" i="13"/>
  <c r="K27" i="13"/>
  <c r="P24" i="13"/>
  <c r="P35" i="13"/>
  <c r="J24" i="13"/>
  <c r="J23" i="13"/>
  <c r="J35" i="13"/>
  <c r="J34" i="13"/>
  <c r="J44" i="13" s="1"/>
  <c r="J21" i="13"/>
  <c r="K75" i="14"/>
  <c r="K109" i="14"/>
  <c r="K96" i="14"/>
  <c r="AH65" i="14"/>
  <c r="J104" i="14"/>
  <c r="K65" i="14"/>
  <c r="J80" i="14"/>
  <c r="J78" i="14"/>
  <c r="J93" i="14"/>
  <c r="K64" i="14"/>
  <c r="L64" i="14" s="1"/>
  <c r="AH64" i="14"/>
  <c r="T52" i="14"/>
  <c r="T34" i="14" s="1"/>
  <c r="R52" i="14"/>
  <c r="K52" i="14"/>
  <c r="K34" i="14"/>
  <c r="H39" i="14"/>
  <c r="H34" i="14"/>
  <c r="D39" i="14"/>
  <c r="D34" i="14"/>
  <c r="S42" i="14"/>
  <c r="S39" i="14"/>
  <c r="S45" i="14"/>
  <c r="K107" i="15"/>
  <c r="K97" i="15"/>
  <c r="K65" i="15"/>
  <c r="J103" i="15"/>
  <c r="J78" i="15"/>
  <c r="J76" i="15" s="1"/>
  <c r="P58" i="15"/>
  <c r="P53" i="15"/>
  <c r="P54" i="15"/>
  <c r="P56" i="15"/>
  <c r="P55" i="15"/>
  <c r="J42" i="15"/>
  <c r="J47" i="15"/>
  <c r="J48" i="15"/>
  <c r="J45" i="15"/>
  <c r="J50" i="15"/>
  <c r="J46" i="15"/>
  <c r="J44" i="15"/>
  <c r="P38" i="15"/>
  <c r="P32" i="15"/>
  <c r="P37" i="15"/>
  <c r="O36" i="15"/>
  <c r="O61" i="15"/>
  <c r="O63" i="15" s="1"/>
  <c r="K278" i="20"/>
  <c r="K91" i="20"/>
  <c r="Q278" i="20"/>
  <c r="Q31" i="20"/>
  <c r="L278" i="20"/>
  <c r="L23" i="20" s="1"/>
  <c r="L31" i="20"/>
  <c r="J278" i="20"/>
  <c r="J23" i="20"/>
  <c r="J31" i="20"/>
  <c r="N24" i="20"/>
  <c r="N278" i="20"/>
  <c r="N23" i="20"/>
  <c r="I278" i="20"/>
  <c r="E278" i="20"/>
  <c r="E23" i="20" s="1"/>
  <c r="Q23" i="20"/>
  <c r="M249" i="20"/>
  <c r="M30" i="20"/>
  <c r="K249" i="20"/>
  <c r="K23" i="20"/>
  <c r="K30" i="20"/>
  <c r="K15" i="20"/>
  <c r="L155" i="20"/>
  <c r="K154" i="20"/>
  <c r="T153" i="20"/>
  <c r="T12" i="20"/>
  <c r="T11" i="20" s="1"/>
  <c r="F153" i="20"/>
  <c r="F12" i="20"/>
  <c r="D153" i="20"/>
  <c r="D12" i="20"/>
  <c r="K65" i="16"/>
  <c r="K66" i="16"/>
  <c r="K125" i="16" s="1"/>
  <c r="K67" i="16"/>
  <c r="K31" i="16"/>
  <c r="K25" i="16"/>
  <c r="Q66" i="16"/>
  <c r="Q67" i="16"/>
  <c r="P132" i="16"/>
  <c r="Q132" i="16"/>
  <c r="N132" i="16"/>
  <c r="O132" i="16"/>
  <c r="O106" i="16"/>
  <c r="O130" i="16"/>
  <c r="P44" i="14"/>
  <c r="P43" i="14"/>
  <c r="T66" i="16"/>
  <c r="T102" i="16"/>
  <c r="J83" i="16"/>
  <c r="J81" i="16"/>
  <c r="L68" i="16"/>
  <c r="L103" i="16"/>
  <c r="M46" i="15"/>
  <c r="M78" i="16"/>
  <c r="J39" i="15"/>
  <c r="L127" i="16"/>
  <c r="I5" i="19"/>
  <c r="I81" i="16"/>
  <c r="I3" i="19" s="1"/>
  <c r="K107" i="16"/>
  <c r="K131" i="16"/>
  <c r="M37" i="15"/>
  <c r="D45" i="13"/>
  <c r="T35" i="13"/>
  <c r="T130" i="13"/>
  <c r="L72" i="16"/>
  <c r="J42" i="16"/>
  <c r="J45" i="16"/>
  <c r="J43" i="16"/>
  <c r="J40" i="16"/>
  <c r="O41" i="14"/>
  <c r="O40" i="14"/>
  <c r="J103" i="16"/>
  <c r="N108" i="16"/>
  <c r="O48" i="14"/>
  <c r="S43" i="14"/>
  <c r="S40" i="14" s="1"/>
  <c r="Q44" i="14"/>
  <c r="O39" i="14"/>
  <c r="F127" i="20"/>
  <c r="J30" i="20"/>
  <c r="N30" i="20"/>
  <c r="D131" i="20"/>
  <c r="D18" i="20"/>
  <c r="H131" i="20"/>
  <c r="I31" i="20"/>
  <c r="M31" i="20"/>
  <c r="Q30" i="20"/>
  <c r="N32" i="16"/>
  <c r="G37" i="15"/>
  <c r="T46" i="14"/>
  <c r="K106" i="14"/>
  <c r="L70" i="14"/>
  <c r="K95" i="14"/>
  <c r="K34" i="13"/>
  <c r="S61" i="14"/>
  <c r="S63" i="14" s="1"/>
  <c r="L68" i="14"/>
  <c r="K94" i="14"/>
  <c r="K105" i="14"/>
  <c r="P18" i="21"/>
  <c r="V17" i="21"/>
  <c r="Y17" i="21" s="1"/>
  <c r="N18" i="21"/>
  <c r="N19" i="21" s="1"/>
  <c r="K18" i="21"/>
  <c r="I18" i="21"/>
  <c r="I19" i="21"/>
  <c r="D18" i="21"/>
  <c r="D19" i="21"/>
  <c r="U16" i="21"/>
  <c r="X16" i="21"/>
  <c r="L60" i="13"/>
  <c r="L62" i="13"/>
  <c r="L44" i="13"/>
  <c r="T37" i="13"/>
  <c r="R37" i="13"/>
  <c r="R27" i="13"/>
  <c r="R28" i="13"/>
  <c r="T41" i="14"/>
  <c r="T44" i="14"/>
  <c r="T43" i="14"/>
  <c r="N61" i="14"/>
  <c r="N63" i="14"/>
  <c r="N38" i="14"/>
  <c r="K44" i="14"/>
  <c r="K43" i="14"/>
  <c r="K45" i="14"/>
  <c r="E63" i="14"/>
  <c r="E39" i="14"/>
  <c r="K70" i="15"/>
  <c r="J95" i="15"/>
  <c r="J104" i="15"/>
  <c r="J94" i="15"/>
  <c r="K68" i="15"/>
  <c r="T59" i="15"/>
  <c r="T54" i="15"/>
  <c r="T53" i="15"/>
  <c r="T56" i="15"/>
  <c r="T55" i="15"/>
  <c r="L59" i="15"/>
  <c r="L56" i="15"/>
  <c r="L57" i="15"/>
  <c r="L58" i="15"/>
  <c r="L53" i="15"/>
  <c r="L54" i="15"/>
  <c r="L55" i="15"/>
  <c r="J55" i="15"/>
  <c r="J57" i="15"/>
  <c r="J56" i="15"/>
  <c r="J58" i="15"/>
  <c r="J51" i="15"/>
  <c r="J41" i="15"/>
  <c r="Q108" i="16"/>
  <c r="R30" i="3"/>
  <c r="K16" i="3"/>
  <c r="L29" i="3"/>
  <c r="V35" i="21"/>
  <c r="V29" i="21"/>
  <c r="E18" i="21"/>
  <c r="E19" i="21" s="1"/>
  <c r="F118" i="13"/>
  <c r="F116" i="13"/>
  <c r="K64" i="13"/>
  <c r="J88" i="13"/>
  <c r="K61" i="13"/>
  <c r="J87" i="13"/>
  <c r="J107" i="13"/>
  <c r="G45" i="13"/>
  <c r="G62" i="13"/>
  <c r="E45" i="13"/>
  <c r="E62" i="13"/>
  <c r="T97" i="14"/>
  <c r="T108" i="14"/>
  <c r="I34" i="14"/>
  <c r="G34" i="14"/>
  <c r="G39" i="14"/>
  <c r="E34" i="14"/>
  <c r="R38" i="14"/>
  <c r="R61" i="14"/>
  <c r="R63" i="14" s="1"/>
  <c r="K72" i="15"/>
  <c r="J106" i="15"/>
  <c r="K62" i="15"/>
  <c r="J102" i="15"/>
  <c r="K51" i="15"/>
  <c r="K45" i="15"/>
  <c r="O122" i="20"/>
  <c r="K122" i="20"/>
  <c r="J4" i="19"/>
  <c r="N39" i="16"/>
  <c r="N43" i="16"/>
  <c r="N47" i="16"/>
  <c r="N51" i="16"/>
  <c r="M54" i="16"/>
  <c r="M55" i="16"/>
  <c r="L34" i="16"/>
  <c r="L32" i="16"/>
  <c r="L50" i="16"/>
  <c r="E28" i="16"/>
  <c r="G22" i="18"/>
  <c r="D22" i="18"/>
  <c r="Q122" i="20"/>
  <c r="R122" i="20"/>
  <c r="N122" i="20"/>
  <c r="H278" i="20"/>
  <c r="H23" i="20" s="1"/>
  <c r="M132" i="16"/>
  <c r="M108" i="16"/>
  <c r="K74" i="16"/>
  <c r="J105" i="16"/>
  <c r="I249" i="20"/>
  <c r="I23" i="20" s="1"/>
  <c r="T102" i="21"/>
  <c r="R102" i="21"/>
  <c r="L62" i="15"/>
  <c r="L102" i="15" s="1"/>
  <c r="K102" i="15"/>
  <c r="K106" i="15"/>
  <c r="R39" i="14"/>
  <c r="R43" i="14"/>
  <c r="R44" i="14"/>
  <c r="R42" i="14"/>
  <c r="R45" i="14"/>
  <c r="R49" i="14" s="1"/>
  <c r="R41" i="14"/>
  <c r="R34" i="14"/>
  <c r="K48" i="14"/>
  <c r="K46" i="14"/>
  <c r="K50" i="14"/>
  <c r="N44" i="14"/>
  <c r="N39" i="14"/>
  <c r="L94" i="14"/>
  <c r="K44" i="13"/>
  <c r="K49" i="13" s="1"/>
  <c r="K60" i="13"/>
  <c r="K62" i="13" s="1"/>
  <c r="M70" i="14"/>
  <c r="L95" i="14"/>
  <c r="L106" i="14"/>
  <c r="H18" i="20"/>
  <c r="H11" i="20"/>
  <c r="H127" i="20"/>
  <c r="M72" i="16"/>
  <c r="L128" i="16"/>
  <c r="L104" i="16"/>
  <c r="R102" i="16"/>
  <c r="Q125" i="16"/>
  <c r="K37" i="16"/>
  <c r="K47" i="16"/>
  <c r="K28" i="16"/>
  <c r="K48" i="16"/>
  <c r="K41" i="16"/>
  <c r="K51" i="16"/>
  <c r="K50" i="16"/>
  <c r="K35" i="16"/>
  <c r="K46" i="16"/>
  <c r="K102" i="16"/>
  <c r="K83" i="16"/>
  <c r="K81" i="16"/>
  <c r="L15" i="20"/>
  <c r="L154" i="20"/>
  <c r="O38" i="15"/>
  <c r="O51" i="15"/>
  <c r="O43" i="15"/>
  <c r="K103" i="15"/>
  <c r="K93" i="15"/>
  <c r="L65" i="15"/>
  <c r="L93" i="15" s="1"/>
  <c r="S50" i="14"/>
  <c r="K104" i="14"/>
  <c r="K93" i="14"/>
  <c r="L65" i="14"/>
  <c r="M65" i="14"/>
  <c r="J60" i="13"/>
  <c r="J62" i="13"/>
  <c r="L89" i="13"/>
  <c r="L109" i="13"/>
  <c r="M67" i="13"/>
  <c r="M126" i="16"/>
  <c r="N69" i="16"/>
  <c r="N126" i="16"/>
  <c r="L74" i="16"/>
  <c r="K129" i="16"/>
  <c r="K105" i="16"/>
  <c r="K107" i="13"/>
  <c r="L64" i="13"/>
  <c r="L88" i="13"/>
  <c r="K104" i="15"/>
  <c r="L68" i="15"/>
  <c r="L104" i="15"/>
  <c r="K94" i="15"/>
  <c r="K105" i="15"/>
  <c r="L70" i="15"/>
  <c r="K95" i="15"/>
  <c r="L48" i="13"/>
  <c r="L47" i="13"/>
  <c r="L50" i="13"/>
  <c r="L45" i="13"/>
  <c r="L41" i="13"/>
  <c r="L49" i="13"/>
  <c r="P19" i="21"/>
  <c r="D127" i="20"/>
  <c r="T34" i="13"/>
  <c r="T60" i="13"/>
  <c r="T62" i="13" s="1"/>
  <c r="N78" i="16"/>
  <c r="M68" i="16"/>
  <c r="N68" i="16"/>
  <c r="T125" i="16"/>
  <c r="D11" i="20"/>
  <c r="P46" i="15"/>
  <c r="P40" i="15"/>
  <c r="P44" i="15"/>
  <c r="P47" i="15"/>
  <c r="P49" i="15"/>
  <c r="P50" i="15"/>
  <c r="P45" i="15"/>
  <c r="P41" i="15"/>
  <c r="P51" i="15"/>
  <c r="P39" i="15"/>
  <c r="P42" i="15"/>
  <c r="P48" i="15"/>
  <c r="K66" i="14"/>
  <c r="L75" i="14"/>
  <c r="L98" i="14"/>
  <c r="O99" i="16"/>
  <c r="O95" i="16"/>
  <c r="O90" i="16" s="1"/>
  <c r="N91" i="16"/>
  <c r="N74" i="15"/>
  <c r="N97" i="15"/>
  <c r="P40" i="14"/>
  <c r="M90" i="14"/>
  <c r="N107" i="15"/>
  <c r="O74" i="15"/>
  <c r="O107" i="15" s="1"/>
  <c r="O91" i="16"/>
  <c r="L46" i="13"/>
  <c r="L105" i="15"/>
  <c r="L95" i="15"/>
  <c r="M70" i="15"/>
  <c r="M95" i="15" s="1"/>
  <c r="L109" i="14"/>
  <c r="M103" i="16"/>
  <c r="N131" i="16"/>
  <c r="O78" i="16"/>
  <c r="N107" i="16"/>
  <c r="L94" i="15"/>
  <c r="M68" i="15"/>
  <c r="N68" i="15" s="1"/>
  <c r="L108" i="13"/>
  <c r="L129" i="16"/>
  <c r="L105" i="16"/>
  <c r="M74" i="16"/>
  <c r="M129" i="16"/>
  <c r="M109" i="13"/>
  <c r="N67" i="13"/>
  <c r="O67" i="13" s="1"/>
  <c r="M89" i="13"/>
  <c r="L104" i="14"/>
  <c r="L93" i="14"/>
  <c r="M65" i="15"/>
  <c r="M103" i="15"/>
  <c r="O49" i="15"/>
  <c r="O42" i="15"/>
  <c r="O50" i="15"/>
  <c r="O47" i="15"/>
  <c r="O39" i="15"/>
  <c r="O45" i="15"/>
  <c r="N72" i="16"/>
  <c r="M128" i="16"/>
  <c r="M104" i="16"/>
  <c r="R51" i="14"/>
  <c r="R47" i="14"/>
  <c r="R50" i="14"/>
  <c r="O69" i="16"/>
  <c r="P69" i="16"/>
  <c r="L12" i="20"/>
  <c r="L11" i="20" s="1"/>
  <c r="L153" i="20"/>
  <c r="L83" i="16"/>
  <c r="L81" i="16"/>
  <c r="M95" i="14"/>
  <c r="N70" i="14"/>
  <c r="O70" i="14" s="1"/>
  <c r="M106" i="14"/>
  <c r="K48" i="13"/>
  <c r="K50" i="13"/>
  <c r="K41" i="13"/>
  <c r="R40" i="14"/>
  <c r="L92" i="15"/>
  <c r="M62" i="15"/>
  <c r="N62" i="15" s="1"/>
  <c r="O126" i="16"/>
  <c r="N104" i="16"/>
  <c r="O72" i="16"/>
  <c r="O128" i="16"/>
  <c r="N128" i="16"/>
  <c r="N109" i="13"/>
  <c r="N89" i="13"/>
  <c r="N129" i="16"/>
  <c r="M105" i="16"/>
  <c r="M94" i="15"/>
  <c r="O107" i="16"/>
  <c r="P78" i="16"/>
  <c r="P107" i="16" s="1"/>
  <c r="O131" i="16"/>
  <c r="O97" i="15"/>
  <c r="N95" i="14"/>
  <c r="M93" i="15"/>
  <c r="N70" i="15"/>
  <c r="N95" i="15" s="1"/>
  <c r="O70" i="15"/>
  <c r="O105" i="15" s="1"/>
  <c r="P131" i="16"/>
  <c r="Q78" i="16"/>
  <c r="R78" i="16" s="1"/>
  <c r="O104" i="16"/>
  <c r="P72" i="16"/>
  <c r="P104" i="16"/>
  <c r="P128" i="16"/>
  <c r="Q131" i="16"/>
  <c r="P126" i="16"/>
  <c r="Q69" i="16"/>
  <c r="O68" i="16"/>
  <c r="N103" i="16"/>
  <c r="M93" i="14"/>
  <c r="M104" i="14"/>
  <c r="N65" i="14"/>
  <c r="K81" i="13"/>
  <c r="K87" i="13"/>
  <c r="K108" i="13"/>
  <c r="K88" i="13"/>
  <c r="N42" i="14"/>
  <c r="N41" i="14"/>
  <c r="N45" i="14"/>
  <c r="T40" i="14"/>
  <c r="U18" i="21"/>
  <c r="X18" i="21"/>
  <c r="K19" i="21"/>
  <c r="K12" i="20"/>
  <c r="K11" i="20" s="1"/>
  <c r="K153" i="20"/>
  <c r="S48" i="14"/>
  <c r="S49" i="14"/>
  <c r="S51" i="14"/>
  <c r="O72" i="13"/>
  <c r="N92" i="13"/>
  <c r="P125" i="16"/>
  <c r="O125" i="16"/>
  <c r="M102" i="16"/>
  <c r="L102" i="16"/>
  <c r="L130" i="16"/>
  <c r="M76" i="16"/>
  <c r="M108" i="15"/>
  <c r="M98" i="15"/>
  <c r="M110" i="13"/>
  <c r="M91" i="13"/>
  <c r="M45" i="15"/>
  <c r="M51" i="15"/>
  <c r="M44" i="15"/>
  <c r="M50" i="15"/>
  <c r="M40" i="15"/>
  <c r="M49" i="15"/>
  <c r="M48" i="15"/>
  <c r="M36" i="16"/>
  <c r="G81" i="16"/>
  <c r="G3" i="19"/>
  <c r="G5" i="19"/>
  <c r="T48" i="14"/>
  <c r="T49" i="14"/>
  <c r="T47" i="14"/>
  <c r="T50" i="14"/>
  <c r="M30" i="4"/>
  <c r="M29" i="4"/>
  <c r="C30" i="3"/>
  <c r="C29" i="3"/>
  <c r="V66" i="21"/>
  <c r="V60" i="21"/>
  <c r="V54" i="21"/>
  <c r="Q19" i="21"/>
  <c r="V18" i="21"/>
  <c r="Y18" i="21" s="1"/>
  <c r="T18" i="21"/>
  <c r="W18" i="21" s="1"/>
  <c r="Z18" i="21" s="1"/>
  <c r="J109" i="14"/>
  <c r="J98" i="14"/>
  <c r="AH75" i="14"/>
  <c r="M72" i="14"/>
  <c r="L96" i="14"/>
  <c r="K103" i="14"/>
  <c r="L62" i="14"/>
  <c r="K92" i="14"/>
  <c r="P70" i="15"/>
  <c r="Q107" i="16"/>
  <c r="Q72" i="16"/>
  <c r="O83" i="16"/>
  <c r="O81" i="16" s="1"/>
  <c r="M105" i="15"/>
  <c r="N65" i="15"/>
  <c r="N83" i="16"/>
  <c r="N81" i="16"/>
  <c r="N106" i="14"/>
  <c r="M102" i="15"/>
  <c r="P74" i="15"/>
  <c r="M104" i="15"/>
  <c r="M83" i="16"/>
  <c r="M81" i="16"/>
  <c r="N105" i="16"/>
  <c r="K45" i="13"/>
  <c r="K47" i="13"/>
  <c r="K46" i="13"/>
  <c r="R46" i="14"/>
  <c r="R48" i="14"/>
  <c r="O44" i="15"/>
  <c r="O40" i="15"/>
  <c r="O41" i="15"/>
  <c r="O48" i="15"/>
  <c r="O46" i="15"/>
  <c r="L103" i="15"/>
  <c r="M64" i="13"/>
  <c r="T44" i="13"/>
  <c r="M75" i="14"/>
  <c r="P99" i="16"/>
  <c r="M107" i="15"/>
  <c r="K98" i="14"/>
  <c r="L61" i="13"/>
  <c r="L107" i="14"/>
  <c r="S47" i="14"/>
  <c r="S46" i="14"/>
  <c r="L125" i="16"/>
  <c r="N43" i="14"/>
  <c r="K92" i="15"/>
  <c r="K78" i="15"/>
  <c r="K76" i="15" s="1"/>
  <c r="L72" i="15"/>
  <c r="K96" i="15"/>
  <c r="K47" i="14"/>
  <c r="K49" i="14"/>
  <c r="K51" i="14"/>
  <c r="L105" i="14"/>
  <c r="M68" i="14"/>
  <c r="T51" i="14"/>
  <c r="K80" i="14"/>
  <c r="K78" i="14" s="1"/>
  <c r="L3" i="19" s="1"/>
  <c r="M107" i="16"/>
  <c r="M131" i="16"/>
  <c r="Q102" i="16"/>
  <c r="R125" i="16"/>
  <c r="K42" i="16"/>
  <c r="K43" i="16"/>
  <c r="K38" i="16"/>
  <c r="K34" i="16"/>
  <c r="K33" i="16"/>
  <c r="K32" i="16" s="1"/>
  <c r="K39" i="16"/>
  <c r="K44" i="16"/>
  <c r="K49" i="16"/>
  <c r="K45" i="16"/>
  <c r="K40" i="16"/>
  <c r="M23" i="20"/>
  <c r="O37" i="15"/>
  <c r="O32" i="15"/>
  <c r="K107" i="14"/>
  <c r="M41" i="15"/>
  <c r="M39" i="15"/>
  <c r="M128" i="13"/>
  <c r="N110" i="13"/>
  <c r="O102" i="16"/>
  <c r="M47" i="13"/>
  <c r="M92" i="13"/>
  <c r="P102" i="16"/>
  <c r="R34" i="13"/>
  <c r="O69" i="13"/>
  <c r="H30" i="3"/>
  <c r="N91" i="13"/>
  <c r="N75" i="15"/>
  <c r="L106" i="16"/>
  <c r="P74" i="16"/>
  <c r="O129" i="16"/>
  <c r="L109" i="16"/>
  <c r="M127" i="16"/>
  <c r="W17" i="21"/>
  <c r="Z17" i="21"/>
  <c r="J34" i="16"/>
  <c r="J50" i="16"/>
  <c r="J37" i="16"/>
  <c r="J47" i="16"/>
  <c r="J35" i="16"/>
  <c r="J44" i="16"/>
  <c r="J38" i="16"/>
  <c r="J48" i="16"/>
  <c r="J51" i="16"/>
  <c r="J49" i="16"/>
  <c r="O47" i="14"/>
  <c r="O50" i="14"/>
  <c r="O46" i="14"/>
  <c r="L100" i="16"/>
  <c r="L91" i="16"/>
  <c r="M41" i="14"/>
  <c r="M45" i="14"/>
  <c r="M39" i="14"/>
  <c r="M42" i="14"/>
  <c r="M44" i="14"/>
  <c r="Q45" i="14"/>
  <c r="Q34" i="14"/>
  <c r="Q39" i="14"/>
  <c r="Q41" i="14"/>
  <c r="Q40" i="14" s="1"/>
  <c r="Q43" i="14"/>
  <c r="I30" i="4"/>
  <c r="I29" i="4"/>
  <c r="L30" i="4"/>
  <c r="L29" i="4"/>
  <c r="L25" i="3"/>
  <c r="L23" i="3"/>
  <c r="J23" i="3"/>
  <c r="P30" i="3"/>
  <c r="N30" i="3"/>
  <c r="N29" i="3"/>
  <c r="H3" i="19"/>
  <c r="J130" i="13"/>
  <c r="J81" i="13"/>
  <c r="O43" i="13"/>
  <c r="T28" i="13"/>
  <c r="T27" i="13"/>
  <c r="P27" i="13"/>
  <c r="P28" i="13"/>
  <c r="P37" i="13"/>
  <c r="P34" i="13"/>
  <c r="P23" i="13"/>
  <c r="P21" i="13"/>
  <c r="P16" i="3"/>
  <c r="L30" i="3"/>
  <c r="I16" i="3"/>
  <c r="P29" i="3"/>
  <c r="D12" i="3"/>
  <c r="D29" i="3"/>
  <c r="U66" i="21"/>
  <c r="M19" i="21"/>
  <c r="V16" i="21"/>
  <c r="Y16" i="21"/>
  <c r="O63" i="13"/>
  <c r="N65" i="13"/>
  <c r="K42" i="14"/>
  <c r="K41" i="14"/>
  <c r="K40" i="14" s="1"/>
  <c r="O59" i="15"/>
  <c r="O58" i="15"/>
  <c r="O54" i="15"/>
  <c r="O56" i="15"/>
  <c r="I32" i="15"/>
  <c r="I37" i="15"/>
  <c r="F32" i="15"/>
  <c r="D32" i="15"/>
  <c r="S36" i="15"/>
  <c r="S61" i="15"/>
  <c r="S63" i="15"/>
  <c r="N36" i="15"/>
  <c r="N61" i="15"/>
  <c r="N63" i="15" s="1"/>
  <c r="O39" i="16"/>
  <c r="O35" i="16"/>
  <c r="O37" i="16"/>
  <c r="O45" i="16"/>
  <c r="O28" i="16"/>
  <c r="O44" i="16"/>
  <c r="O42" i="16"/>
  <c r="O34" i="16"/>
  <c r="O32" i="16"/>
  <c r="O38" i="16"/>
  <c r="O43" i="16"/>
  <c r="N53" i="16"/>
  <c r="N61" i="16"/>
  <c r="N58" i="16"/>
  <c r="N56" i="16"/>
  <c r="S28" i="13"/>
  <c r="S37" i="13"/>
  <c r="S34" i="13" s="1"/>
  <c r="O27" i="13"/>
  <c r="O28" i="13"/>
  <c r="O37" i="13"/>
  <c r="O34" i="13" s="1"/>
  <c r="O21" i="13"/>
  <c r="O52" i="14"/>
  <c r="O34" i="14"/>
  <c r="P52" i="14"/>
  <c r="P34" i="14"/>
  <c r="U14" i="14"/>
  <c r="T33" i="14"/>
  <c r="L36" i="15"/>
  <c r="L61" i="15"/>
  <c r="L63" i="15" s="1"/>
  <c r="S122" i="20"/>
  <c r="M122" i="20"/>
  <c r="F122" i="20"/>
  <c r="N52" i="14"/>
  <c r="N34" i="14"/>
  <c r="M36" i="14"/>
  <c r="M34" i="14"/>
  <c r="L38" i="14"/>
  <c r="L61" i="14"/>
  <c r="L63" i="14" s="1"/>
  <c r="S59" i="15"/>
  <c r="S57" i="15"/>
  <c r="P57" i="15"/>
  <c r="P59" i="15"/>
  <c r="T36" i="15"/>
  <c r="T61" i="15"/>
  <c r="T63" i="15"/>
  <c r="R38" i="16"/>
  <c r="R36" i="16"/>
  <c r="R46" i="16"/>
  <c r="Q54" i="16"/>
  <c r="Q58" i="16"/>
  <c r="P38" i="16"/>
  <c r="P36" i="16" s="1"/>
  <c r="P43" i="16"/>
  <c r="P47" i="16"/>
  <c r="O53" i="16"/>
  <c r="O60" i="16"/>
  <c r="O61" i="16"/>
  <c r="Q77" i="18"/>
  <c r="P23" i="20"/>
  <c r="G249" i="20"/>
  <c r="G23" i="20"/>
  <c r="Q22" i="18"/>
  <c r="O22" i="18"/>
  <c r="L22" i="18"/>
  <c r="J22" i="18"/>
  <c r="H22" i="18"/>
  <c r="E122" i="20"/>
  <c r="S278" i="20"/>
  <c r="S23" i="20"/>
  <c r="T23" i="20"/>
  <c r="R23" i="20"/>
  <c r="O23" i="20"/>
  <c r="F83" i="16"/>
  <c r="N23" i="26"/>
  <c r="P23" i="26"/>
  <c r="L23" i="26"/>
  <c r="D26" i="26"/>
  <c r="D25" i="26" s="1"/>
  <c r="D23" i="26" s="1"/>
  <c r="P60" i="13"/>
  <c r="P62" i="13" s="1"/>
  <c r="P44" i="13"/>
  <c r="T43" i="15"/>
  <c r="T37" i="15"/>
  <c r="T32" i="15"/>
  <c r="T38" i="15"/>
  <c r="L39" i="14"/>
  <c r="L45" i="14"/>
  <c r="L43" i="14"/>
  <c r="L41" i="14"/>
  <c r="L44" i="14"/>
  <c r="L42" i="14"/>
  <c r="L34" i="14"/>
  <c r="J79" i="13"/>
  <c r="K3" i="19" s="1"/>
  <c r="K5" i="19"/>
  <c r="M40" i="14"/>
  <c r="O128" i="13"/>
  <c r="O110" i="13"/>
  <c r="O91" i="13"/>
  <c r="P69" i="13"/>
  <c r="K36" i="16"/>
  <c r="N68" i="14"/>
  <c r="M94" i="14"/>
  <c r="M105" i="14"/>
  <c r="L106" i="15"/>
  <c r="M72" i="15"/>
  <c r="L96" i="15"/>
  <c r="L78" i="15"/>
  <c r="L76" i="15"/>
  <c r="M61" i="13"/>
  <c r="L81" i="13"/>
  <c r="L107" i="13"/>
  <c r="L87" i="13"/>
  <c r="Q99" i="16"/>
  <c r="P95" i="16"/>
  <c r="P90" i="16" s="1"/>
  <c r="P91" i="16"/>
  <c r="T50" i="13"/>
  <c r="T47" i="13"/>
  <c r="T49" i="13"/>
  <c r="T45" i="13"/>
  <c r="T48" i="13"/>
  <c r="T41" i="13"/>
  <c r="Q128" i="16"/>
  <c r="R72" i="16"/>
  <c r="Q104" i="16"/>
  <c r="M96" i="14"/>
  <c r="N72" i="14"/>
  <c r="M107" i="14"/>
  <c r="P72" i="13"/>
  <c r="O92" i="13"/>
  <c r="N47" i="14"/>
  <c r="N48" i="14"/>
  <c r="N46" i="14"/>
  <c r="N50" i="14"/>
  <c r="N49" i="14"/>
  <c r="N51" i="14"/>
  <c r="N40" i="14"/>
  <c r="O65" i="14"/>
  <c r="N104" i="14"/>
  <c r="N93" i="14"/>
  <c r="O103" i="16"/>
  <c r="P68" i="16"/>
  <c r="Q126" i="16"/>
  <c r="R69" i="16"/>
  <c r="F81" i="16"/>
  <c r="F3" i="19"/>
  <c r="F5" i="19"/>
  <c r="L37" i="15"/>
  <c r="L38" i="15"/>
  <c r="L32" i="15"/>
  <c r="L43" i="15"/>
  <c r="O36" i="16"/>
  <c r="N32" i="15"/>
  <c r="N38" i="15"/>
  <c r="N37" i="15"/>
  <c r="N43" i="15"/>
  <c r="S32" i="15"/>
  <c r="S37" i="15"/>
  <c r="S43" i="15"/>
  <c r="S38" i="15"/>
  <c r="O65" i="13"/>
  <c r="P63" i="13"/>
  <c r="Q48" i="14"/>
  <c r="Q50" i="14"/>
  <c r="Q51" i="14"/>
  <c r="Q47" i="14"/>
  <c r="Q46" i="14"/>
  <c r="Q49" i="14"/>
  <c r="M50" i="14"/>
  <c r="M46" i="14"/>
  <c r="M49" i="14"/>
  <c r="M47" i="14"/>
  <c r="M48" i="14"/>
  <c r="M51" i="14"/>
  <c r="J36" i="16"/>
  <c r="J32" i="16"/>
  <c r="P105" i="16"/>
  <c r="Q74" i="16"/>
  <c r="Q83" i="16" s="1"/>
  <c r="Q81" i="16" s="1"/>
  <c r="P129" i="16"/>
  <c r="O75" i="15"/>
  <c r="N108" i="15"/>
  <c r="N98" i="15"/>
  <c r="R60" i="13"/>
  <c r="R62" i="13" s="1"/>
  <c r="R44" i="13"/>
  <c r="W13" i="21"/>
  <c r="M98" i="14"/>
  <c r="M109" i="14"/>
  <c r="N75" i="14"/>
  <c r="N64" i="13"/>
  <c r="M108" i="13"/>
  <c r="M88" i="13"/>
  <c r="P107" i="15"/>
  <c r="Q74" i="15"/>
  <c r="P97" i="15"/>
  <c r="N93" i="15"/>
  <c r="N103" i="15"/>
  <c r="O65" i="15"/>
  <c r="P83" i="16"/>
  <c r="P81" i="16" s="1"/>
  <c r="Q70" i="15"/>
  <c r="P95" i="15"/>
  <c r="P105" i="15"/>
  <c r="L92" i="14"/>
  <c r="M62" i="14"/>
  <c r="L103" i="14"/>
  <c r="L80" i="14"/>
  <c r="L78" i="14" s="1"/>
  <c r="M3" i="19" s="1"/>
  <c r="N106" i="16"/>
  <c r="M130" i="16"/>
  <c r="N130" i="16"/>
  <c r="M106" i="16"/>
  <c r="K79" i="13"/>
  <c r="L5" i="19"/>
  <c r="O93" i="15"/>
  <c r="P65" i="15"/>
  <c r="O103" i="15"/>
  <c r="Q107" i="15"/>
  <c r="Q97" i="15"/>
  <c r="R74" i="15"/>
  <c r="N88" i="13"/>
  <c r="N108" i="13"/>
  <c r="O64" i="13"/>
  <c r="L46" i="15"/>
  <c r="L44" i="15"/>
  <c r="L47" i="15"/>
  <c r="L39" i="15"/>
  <c r="L41" i="15"/>
  <c r="L40" i="15"/>
  <c r="L42" i="15"/>
  <c r="L45" i="15"/>
  <c r="L50" i="15"/>
  <c r="L48" i="15"/>
  <c r="L49" i="15"/>
  <c r="L51" i="15"/>
  <c r="P103" i="16"/>
  <c r="Q68" i="16"/>
  <c r="O93" i="14"/>
  <c r="P65" i="14"/>
  <c r="O104" i="14"/>
  <c r="Q72" i="13"/>
  <c r="P92" i="13"/>
  <c r="N107" i="14"/>
  <c r="O72" i="14"/>
  <c r="N96" i="14"/>
  <c r="L79" i="13"/>
  <c r="M5" i="19"/>
  <c r="M106" i="15"/>
  <c r="M96" i="15"/>
  <c r="N72" i="15"/>
  <c r="M78" i="15"/>
  <c r="M76" i="15"/>
  <c r="N105" i="14"/>
  <c r="N94" i="14"/>
  <c r="O68" i="14"/>
  <c r="Q69" i="13"/>
  <c r="P91" i="13"/>
  <c r="P110" i="13"/>
  <c r="P128" i="13"/>
  <c r="L40" i="14"/>
  <c r="L47" i="14"/>
  <c r="L46" i="14"/>
  <c r="L48" i="14"/>
  <c r="L50" i="14"/>
  <c r="L49" i="14"/>
  <c r="L51" i="14"/>
  <c r="T51" i="15"/>
  <c r="T49" i="15"/>
  <c r="T50" i="15"/>
  <c r="T40" i="15"/>
  <c r="T39" i="15"/>
  <c r="T48" i="15"/>
  <c r="T44" i="15"/>
  <c r="T41" i="15"/>
  <c r="T46" i="15"/>
  <c r="T45" i="15"/>
  <c r="T47" i="15"/>
  <c r="T42" i="15"/>
  <c r="P49" i="13"/>
  <c r="P47" i="13"/>
  <c r="P50" i="13"/>
  <c r="P48" i="13"/>
  <c r="P41" i="13"/>
  <c r="P45" i="13"/>
  <c r="N62" i="14"/>
  <c r="M103" i="14"/>
  <c r="M80" i="14"/>
  <c r="M78" i="14" s="1"/>
  <c r="M92" i="14"/>
  <c r="R70" i="15"/>
  <c r="Q105" i="15"/>
  <c r="Q95" i="15"/>
  <c r="O75" i="14"/>
  <c r="N109" i="14"/>
  <c r="N98" i="14"/>
  <c r="R47" i="13"/>
  <c r="R49" i="13"/>
  <c r="R45" i="13"/>
  <c r="R48" i="13"/>
  <c r="R50" i="13"/>
  <c r="R41" i="13"/>
  <c r="O98" i="15"/>
  <c r="O108" i="15"/>
  <c r="P75" i="15"/>
  <c r="Q105" i="16"/>
  <c r="R74" i="16"/>
  <c r="Q129" i="16"/>
  <c r="Q63" i="13"/>
  <c r="P65" i="13"/>
  <c r="S50" i="15"/>
  <c r="S48" i="15"/>
  <c r="S49" i="15"/>
  <c r="S46" i="15"/>
  <c r="S44" i="15"/>
  <c r="S39" i="15"/>
  <c r="S42" i="15"/>
  <c r="S47" i="15"/>
  <c r="S51" i="15"/>
  <c r="S40" i="15"/>
  <c r="S41" i="15"/>
  <c r="S45" i="15"/>
  <c r="N44" i="15"/>
  <c r="N48" i="15"/>
  <c r="N40" i="15"/>
  <c r="N42" i="15"/>
  <c r="N49" i="15"/>
  <c r="N46" i="15"/>
  <c r="N39" i="15"/>
  <c r="N41" i="15"/>
  <c r="N47" i="15"/>
  <c r="N50" i="15"/>
  <c r="N51" i="15"/>
  <c r="N45" i="15"/>
  <c r="S69" i="16"/>
  <c r="R126" i="16"/>
  <c r="R128" i="16"/>
  <c r="R104" i="16"/>
  <c r="S72" i="16"/>
  <c r="T46" i="13"/>
  <c r="Q91" i="16"/>
  <c r="R99" i="16"/>
  <c r="Q95" i="16"/>
  <c r="Q90" i="16"/>
  <c r="N61" i="13"/>
  <c r="M107" i="13"/>
  <c r="M87" i="13"/>
  <c r="M81" i="13"/>
  <c r="M79" i="13" s="1"/>
  <c r="T104" i="16"/>
  <c r="S128" i="16"/>
  <c r="S104" i="16"/>
  <c r="T128" i="16"/>
  <c r="R63" i="13"/>
  <c r="R65" i="13"/>
  <c r="Q65" i="13"/>
  <c r="R129" i="16"/>
  <c r="S105" i="16"/>
  <c r="S129" i="16"/>
  <c r="R105" i="16"/>
  <c r="P108" i="15"/>
  <c r="Q75" i="15"/>
  <c r="P98" i="15"/>
  <c r="R46" i="13"/>
  <c r="R105" i="15"/>
  <c r="R95" i="15"/>
  <c r="S70" i="15"/>
  <c r="N92" i="14"/>
  <c r="N80" i="14"/>
  <c r="N78" i="14" s="1"/>
  <c r="O62" i="14"/>
  <c r="N103" i="14"/>
  <c r="O94" i="14"/>
  <c r="P68" i="14"/>
  <c r="O105" i="14"/>
  <c r="O72" i="15"/>
  <c r="N96" i="15"/>
  <c r="N106" i="15"/>
  <c r="N78" i="15"/>
  <c r="N76" i="15"/>
  <c r="R72" i="13"/>
  <c r="Q92" i="13"/>
  <c r="Q65" i="14"/>
  <c r="P104" i="14"/>
  <c r="P93" i="14"/>
  <c r="Q103" i="16"/>
  <c r="R68" i="16"/>
  <c r="O88" i="13"/>
  <c r="O108" i="13"/>
  <c r="P64" i="13"/>
  <c r="P93" i="15"/>
  <c r="P103" i="15"/>
  <c r="Q65" i="15"/>
  <c r="N107" i="13"/>
  <c r="N81" i="13"/>
  <c r="N87" i="13"/>
  <c r="O61" i="13"/>
  <c r="R95" i="16"/>
  <c r="R90" i="16"/>
  <c r="R91" i="16"/>
  <c r="R83" i="16"/>
  <c r="R81" i="16"/>
  <c r="T126" i="16"/>
  <c r="S126" i="16"/>
  <c r="O109" i="14"/>
  <c r="O98" i="14"/>
  <c r="P75" i="14"/>
  <c r="P46" i="13"/>
  <c r="Q128" i="13"/>
  <c r="Q110" i="13"/>
  <c r="Q91" i="13"/>
  <c r="R69" i="13"/>
  <c r="O107" i="14"/>
  <c r="P72" i="14"/>
  <c r="O96" i="14"/>
  <c r="R97" i="15"/>
  <c r="R107" i="15"/>
  <c r="S74" i="15"/>
  <c r="S107" i="15" s="1"/>
  <c r="T107" i="15"/>
  <c r="T97" i="15"/>
  <c r="Q103" i="15"/>
  <c r="R65" i="15"/>
  <c r="Q93" i="15"/>
  <c r="R103" i="16"/>
  <c r="S103" i="16"/>
  <c r="R65" i="14"/>
  <c r="Q93" i="14"/>
  <c r="Q104" i="14"/>
  <c r="R92" i="13"/>
  <c r="S72" i="13"/>
  <c r="O96" i="15"/>
  <c r="O106" i="15"/>
  <c r="P72" i="15"/>
  <c r="P94" i="14"/>
  <c r="P105" i="14"/>
  <c r="Q68" i="14"/>
  <c r="O103" i="14"/>
  <c r="O80" i="14"/>
  <c r="O78" i="14"/>
  <c r="P62" i="14"/>
  <c r="O92" i="14"/>
  <c r="R75" i="15"/>
  <c r="Q98" i="15"/>
  <c r="Q108" i="15"/>
  <c r="P96" i="14"/>
  <c r="P107" i="14"/>
  <c r="Q72" i="14"/>
  <c r="R91" i="13"/>
  <c r="S69" i="13"/>
  <c r="R128" i="13"/>
  <c r="R110" i="13"/>
  <c r="Q75" i="14"/>
  <c r="P98" i="14"/>
  <c r="P109" i="14"/>
  <c r="P61" i="13"/>
  <c r="P107" i="13" s="1"/>
  <c r="O107" i="13"/>
  <c r="O87" i="13"/>
  <c r="O81" i="13"/>
  <c r="N79" i="13"/>
  <c r="O3" i="19" s="1"/>
  <c r="O5" i="19"/>
  <c r="P88" i="13"/>
  <c r="P108" i="13"/>
  <c r="Q64" i="13"/>
  <c r="S105" i="15"/>
  <c r="T70" i="15"/>
  <c r="S95" i="15"/>
  <c r="T95" i="15"/>
  <c r="T105" i="15"/>
  <c r="Q88" i="13"/>
  <c r="R64" i="13"/>
  <c r="Q108" i="13"/>
  <c r="Q61" i="13"/>
  <c r="P87" i="13"/>
  <c r="T72" i="13"/>
  <c r="T92" i="13"/>
  <c r="S92" i="13"/>
  <c r="S65" i="14"/>
  <c r="R93" i="14"/>
  <c r="R104" i="14"/>
  <c r="O79" i="13"/>
  <c r="Q109" i="14"/>
  <c r="Q98" i="14"/>
  <c r="R75" i="14"/>
  <c r="S110" i="13"/>
  <c r="T69" i="13"/>
  <c r="S91" i="13"/>
  <c r="S128" i="13"/>
  <c r="R72" i="14"/>
  <c r="Q96" i="14"/>
  <c r="Q107" i="14"/>
  <c r="R98" i="15"/>
  <c r="S108" i="15"/>
  <c r="R108" i="15"/>
  <c r="S98" i="15"/>
  <c r="Q62" i="14"/>
  <c r="P92" i="14"/>
  <c r="P103" i="14"/>
  <c r="R68" i="14"/>
  <c r="Q94" i="14"/>
  <c r="Q105" i="14"/>
  <c r="P106" i="15"/>
  <c r="P96" i="15"/>
  <c r="Q72" i="15"/>
  <c r="Q96" i="15" s="1"/>
  <c r="S65" i="15"/>
  <c r="R103" i="15"/>
  <c r="R93" i="15"/>
  <c r="S103" i="15"/>
  <c r="S93" i="15"/>
  <c r="T93" i="15"/>
  <c r="T103" i="15"/>
  <c r="Q106" i="15"/>
  <c r="R72" i="15"/>
  <c r="S72" i="14"/>
  <c r="R96" i="14"/>
  <c r="R107" i="14"/>
  <c r="S104" i="14"/>
  <c r="T65" i="14"/>
  <c r="S93" i="14"/>
  <c r="Q87" i="13"/>
  <c r="Q107" i="13"/>
  <c r="R61" i="13"/>
  <c r="R88" i="13"/>
  <c r="R108" i="13"/>
  <c r="S64" i="13"/>
  <c r="R105" i="14"/>
  <c r="S68" i="14"/>
  <c r="R94" i="14"/>
  <c r="Q92" i="14"/>
  <c r="R62" i="14"/>
  <c r="Q103" i="14"/>
  <c r="T110" i="13"/>
  <c r="T128" i="13"/>
  <c r="T91" i="13"/>
  <c r="S75" i="14"/>
  <c r="S98" i="14" s="1"/>
  <c r="R109" i="14"/>
  <c r="R98" i="14"/>
  <c r="T75" i="14"/>
  <c r="S109" i="14"/>
  <c r="R92" i="14"/>
  <c r="S62" i="14"/>
  <c r="R103" i="14"/>
  <c r="R87" i="13"/>
  <c r="S61" i="13"/>
  <c r="S107" i="13" s="1"/>
  <c r="R107" i="13"/>
  <c r="S96" i="14"/>
  <c r="S107" i="14"/>
  <c r="T72" i="14"/>
  <c r="R96" i="15"/>
  <c r="R106" i="15"/>
  <c r="S72" i="15"/>
  <c r="S106" i="15" s="1"/>
  <c r="S105" i="14"/>
  <c r="S94" i="14"/>
  <c r="T68" i="14"/>
  <c r="T64" i="13"/>
  <c r="T88" i="13" s="1"/>
  <c r="S88" i="13"/>
  <c r="S108" i="13"/>
  <c r="T93" i="14"/>
  <c r="T104" i="14"/>
  <c r="T108" i="13"/>
  <c r="T107" i="14"/>
  <c r="T96" i="14"/>
  <c r="S87" i="13"/>
  <c r="T61" i="13"/>
  <c r="T94" i="14"/>
  <c r="T105" i="14"/>
  <c r="S96" i="15"/>
  <c r="T106" i="15"/>
  <c r="T62" i="14"/>
  <c r="S103" i="14"/>
  <c r="S92" i="14"/>
  <c r="T98" i="14"/>
  <c r="T109" i="14"/>
  <c r="T92" i="14"/>
  <c r="T103" i="14"/>
  <c r="T107" i="13"/>
  <c r="T87" i="13"/>
  <c r="N3" i="19" l="1"/>
  <c r="S60" i="13"/>
  <c r="S62" i="13" s="1"/>
  <c r="S44" i="13"/>
  <c r="O60" i="13"/>
  <c r="O62" i="13" s="1"/>
  <c r="O44" i="13"/>
  <c r="P70" i="14"/>
  <c r="O106" i="14"/>
  <c r="O95" i="14"/>
  <c r="N94" i="15"/>
  <c r="O68" i="15"/>
  <c r="N104" i="15"/>
  <c r="L66" i="14"/>
  <c r="M64" i="14"/>
  <c r="P49" i="14"/>
  <c r="P48" i="14"/>
  <c r="P47" i="14"/>
  <c r="P46" i="14"/>
  <c r="P51" i="14"/>
  <c r="P50" i="14"/>
  <c r="Q60" i="13"/>
  <c r="Q62" i="13" s="1"/>
  <c r="Q44" i="13"/>
  <c r="Q30" i="4"/>
  <c r="Q29" i="4"/>
  <c r="F21" i="3"/>
  <c r="F30" i="3"/>
  <c r="F16" i="3"/>
  <c r="T96" i="15"/>
  <c r="S97" i="15"/>
  <c r="N5" i="19"/>
  <c r="S78" i="16"/>
  <c r="R131" i="16"/>
  <c r="R107" i="16"/>
  <c r="N92" i="15"/>
  <c r="N102" i="15"/>
  <c r="O62" i="15"/>
  <c r="O89" i="13"/>
  <c r="P67" i="13"/>
  <c r="O109" i="13"/>
  <c r="J45" i="13"/>
  <c r="J47" i="13"/>
  <c r="J48" i="13"/>
  <c r="J49" i="13"/>
  <c r="J41" i="13"/>
  <c r="J50" i="13"/>
  <c r="N90" i="14"/>
  <c r="O73" i="14"/>
  <c r="L87" i="16"/>
  <c r="L89" i="16"/>
  <c r="K114" i="16"/>
  <c r="N44" i="13"/>
  <c r="N60" i="13"/>
  <c r="N62" i="13" s="1"/>
  <c r="M49" i="13"/>
  <c r="M50" i="13"/>
  <c r="M48" i="13"/>
  <c r="M46" i="13" s="1"/>
  <c r="M45" i="13"/>
  <c r="M41" i="13"/>
  <c r="L21" i="3"/>
  <c r="L16" i="3"/>
  <c r="J21" i="3"/>
  <c r="J30" i="3"/>
  <c r="J16" i="3"/>
  <c r="H16" i="3"/>
  <c r="H21" i="3"/>
  <c r="D21" i="3"/>
  <c r="D30" i="3"/>
  <c r="D16" i="3"/>
  <c r="T19" i="21"/>
  <c r="O95" i="15"/>
  <c r="N105" i="15"/>
  <c r="M92" i="15"/>
  <c r="L98" i="15"/>
  <c r="V102" i="21"/>
  <c r="J12" i="20"/>
  <c r="J11" i="20" s="1"/>
  <c r="S34" i="14"/>
  <c r="Q49" i="15"/>
  <c r="Q47" i="15"/>
  <c r="I62" i="13"/>
  <c r="L24" i="13"/>
  <c r="J107" i="14"/>
  <c r="J92" i="14"/>
  <c r="AH62" i="14"/>
  <c r="J38" i="14"/>
  <c r="M59" i="15"/>
  <c r="N38" i="16"/>
  <c r="N46" i="16"/>
  <c r="M89" i="16" l="1"/>
  <c r="M87" i="16" s="1"/>
  <c r="L114" i="16"/>
  <c r="Q67" i="13"/>
  <c r="P109" i="13"/>
  <c r="P89" i="13"/>
  <c r="O102" i="15"/>
  <c r="O92" i="15"/>
  <c r="P62" i="15"/>
  <c r="O78" i="15"/>
  <c r="P81" i="13"/>
  <c r="Q45" i="13"/>
  <c r="Q48" i="13"/>
  <c r="Q50" i="13"/>
  <c r="Q47" i="13"/>
  <c r="Q49" i="13"/>
  <c r="Q41" i="13"/>
  <c r="N64" i="14"/>
  <c r="M66" i="14"/>
  <c r="N36" i="16"/>
  <c r="J43" i="14"/>
  <c r="J42" i="14"/>
  <c r="J41" i="14"/>
  <c r="J34" i="14"/>
  <c r="J39" i="14"/>
  <c r="J44" i="14"/>
  <c r="J45" i="14"/>
  <c r="N48" i="13"/>
  <c r="N41" i="13"/>
  <c r="N50" i="13"/>
  <c r="N45" i="13"/>
  <c r="N47" i="13"/>
  <c r="N46" i="13" s="1"/>
  <c r="N49" i="13"/>
  <c r="P73" i="14"/>
  <c r="O90" i="14"/>
  <c r="J46" i="13"/>
  <c r="T131" i="16"/>
  <c r="T107" i="16"/>
  <c r="T83" i="16"/>
  <c r="T81" i="16" s="1"/>
  <c r="S107" i="16"/>
  <c r="S131" i="16"/>
  <c r="S83" i="16"/>
  <c r="S81" i="16" s="1"/>
  <c r="P68" i="15"/>
  <c r="O104" i="15"/>
  <c r="O94" i="15"/>
  <c r="P95" i="14"/>
  <c r="Q70" i="14"/>
  <c r="P80" i="14"/>
  <c r="P78" i="14" s="1"/>
  <c r="P106" i="14"/>
  <c r="O45" i="13"/>
  <c r="O48" i="13"/>
  <c r="O41" i="13"/>
  <c r="O49" i="13"/>
  <c r="O50" i="13"/>
  <c r="O47" i="13"/>
  <c r="S45" i="13"/>
  <c r="S48" i="13"/>
  <c r="S47" i="13"/>
  <c r="S46" i="13" s="1"/>
  <c r="S41" i="13"/>
  <c r="S49" i="13"/>
  <c r="S50" i="13"/>
  <c r="O46" i="13" l="1"/>
  <c r="Q106" i="14"/>
  <c r="Q95" i="14"/>
  <c r="R70" i="14"/>
  <c r="Q80" i="14"/>
  <c r="Q78" i="14" s="1"/>
  <c r="P104" i="15"/>
  <c r="Q68" i="15"/>
  <c r="P94" i="15"/>
  <c r="J51" i="14"/>
  <c r="J47" i="14"/>
  <c r="J46" i="14"/>
  <c r="J48" i="14"/>
  <c r="J49" i="14"/>
  <c r="J50" i="14"/>
  <c r="J40" i="14"/>
  <c r="Q46" i="13"/>
  <c r="P79" i="13"/>
  <c r="Q3" i="19" s="1"/>
  <c r="P102" i="15"/>
  <c r="P78" i="15"/>
  <c r="P76" i="15" s="1"/>
  <c r="P92" i="15"/>
  <c r="Q62" i="15"/>
  <c r="P90" i="14"/>
  <c r="Q73" i="14"/>
  <c r="N66" i="14"/>
  <c r="O64" i="14"/>
  <c r="O76" i="15"/>
  <c r="P3" i="19" s="1"/>
  <c r="P5" i="19"/>
  <c r="R67" i="13"/>
  <c r="Q109" i="13"/>
  <c r="Q81" i="13"/>
  <c r="Q89" i="13"/>
  <c r="N89" i="16"/>
  <c r="N87" i="16" s="1"/>
  <c r="M114" i="16"/>
  <c r="Q79" i="13" l="1"/>
  <c r="S67" i="13"/>
  <c r="R81" i="13"/>
  <c r="R89" i="13"/>
  <c r="R109" i="13"/>
  <c r="O66" i="14"/>
  <c r="P64" i="14"/>
  <c r="Q90" i="14"/>
  <c r="R73" i="14"/>
  <c r="R62" i="15"/>
  <c r="Q78" i="15"/>
  <c r="Q76" i="15" s="1"/>
  <c r="Q102" i="15"/>
  <c r="Q92" i="15"/>
  <c r="Q5" i="19"/>
  <c r="R95" i="14"/>
  <c r="S70" i="14"/>
  <c r="R106" i="14"/>
  <c r="R80" i="14"/>
  <c r="R78" i="14" s="1"/>
  <c r="O89" i="16"/>
  <c r="O87" i="16" s="1"/>
  <c r="N114" i="16"/>
  <c r="Q104" i="15"/>
  <c r="R68" i="15"/>
  <c r="Q94" i="15"/>
  <c r="S106" i="14" l="1"/>
  <c r="S95" i="14"/>
  <c r="S80" i="14"/>
  <c r="S78" i="14" s="1"/>
  <c r="T70" i="14"/>
  <c r="S62" i="15"/>
  <c r="R102" i="15"/>
  <c r="R78" i="15"/>
  <c r="R76" i="15" s="1"/>
  <c r="R92" i="15"/>
  <c r="R79" i="13"/>
  <c r="S3" i="19" s="1"/>
  <c r="R5" i="19"/>
  <c r="R94" i="15"/>
  <c r="R104" i="15"/>
  <c r="S68" i="15"/>
  <c r="O114" i="16"/>
  <c r="P89" i="16"/>
  <c r="P87" i="16" s="1"/>
  <c r="S73" i="14"/>
  <c r="S90" i="14" s="1"/>
  <c r="R90" i="14"/>
  <c r="P66" i="14"/>
  <c r="Q64" i="14"/>
  <c r="T67" i="13"/>
  <c r="S89" i="13"/>
  <c r="S109" i="13"/>
  <c r="S81" i="13"/>
  <c r="R3" i="19"/>
  <c r="T89" i="13" l="1"/>
  <c r="T81" i="13"/>
  <c r="T109" i="13"/>
  <c r="S102" i="15"/>
  <c r="S92" i="15"/>
  <c r="T62" i="15"/>
  <c r="S78" i="15"/>
  <c r="S76" i="15" s="1"/>
  <c r="S79" i="13"/>
  <c r="T3" i="19" s="1"/>
  <c r="J3" i="19" s="1"/>
  <c r="R64" i="14"/>
  <c r="Q66" i="14"/>
  <c r="P114" i="16"/>
  <c r="Q89" i="16"/>
  <c r="Q87" i="16" s="1"/>
  <c r="T68" i="15"/>
  <c r="S104" i="15"/>
  <c r="S94" i="15"/>
  <c r="S5" i="19"/>
  <c r="T95" i="14"/>
  <c r="T80" i="14"/>
  <c r="T78" i="14" s="1"/>
  <c r="T106" i="14"/>
  <c r="R89" i="16" l="1"/>
  <c r="R87" i="16" s="1"/>
  <c r="Q114" i="16"/>
  <c r="T104" i="15"/>
  <c r="T94" i="15"/>
  <c r="S64" i="14"/>
  <c r="R66" i="14"/>
  <c r="T5" i="19"/>
  <c r="J5" i="19" s="1"/>
  <c r="T92" i="15"/>
  <c r="T102" i="15"/>
  <c r="T78" i="15"/>
  <c r="T76" i="15" s="1"/>
  <c r="T79" i="13"/>
  <c r="U5" i="19"/>
  <c r="U3" i="19" l="1"/>
  <c r="T64" i="14"/>
  <c r="T66" i="14" s="1"/>
  <c r="S66" i="14"/>
  <c r="S89" i="16"/>
  <c r="S87" i="16" s="1"/>
  <c r="R114" i="16"/>
  <c r="J116" i="16" l="1"/>
  <c r="J117" i="16" s="1"/>
  <c r="T89" i="16"/>
  <c r="T87" i="16" s="1"/>
  <c r="T114" i="16" s="1"/>
  <c r="S114" i="16"/>
</calcChain>
</file>

<file path=xl/comments1.xml><?xml version="1.0" encoding="utf-8"?>
<comments xmlns="http://schemas.openxmlformats.org/spreadsheetml/2006/main">
  <authors>
    <author>Vinaghost.Com</author>
  </authors>
  <commentList>
    <comment ref="H9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Cục TK: 42131
</t>
        </r>
      </text>
    </comment>
    <comment ref="I9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42892
</t>
        </r>
      </text>
    </comment>
    <comment ref="J9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cục TK 43645</t>
        </r>
      </text>
    </comment>
    <comment ref="H10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39763</t>
        </r>
      </text>
    </comment>
    <comment ref="I10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40481</t>
        </r>
      </text>
    </comment>
    <comment ref="J10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41193
</t>
        </r>
      </text>
    </comment>
    <comment ref="H11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12914</t>
        </r>
      </text>
    </comment>
    <comment ref="I11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13147</t>
        </r>
      </text>
    </comment>
    <comment ref="J11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13378</t>
        </r>
      </text>
    </comment>
    <comment ref="I13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sửa theo tỷ lệ cuối năm của phòng GDMN</t>
        </r>
      </text>
    </comment>
    <comment ref="T18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Chị Uyên chốt</t>
        </r>
      </text>
    </comment>
  </commentList>
</comments>
</file>

<file path=xl/comments2.xml><?xml version="1.0" encoding="utf-8"?>
<comments xmlns="http://schemas.openxmlformats.org/spreadsheetml/2006/main">
  <authors>
    <author>Vinaghost.Com</author>
  </authors>
  <commentList>
    <comment ref="I18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tỷ lệ quá cao nên bỏ chỉ tiêu này</t>
        </r>
      </text>
    </comment>
  </commentList>
</comments>
</file>

<file path=xl/comments3.xml><?xml version="1.0" encoding="utf-8"?>
<comments xmlns="http://schemas.openxmlformats.org/spreadsheetml/2006/main">
  <authors>
    <author>Vinaghost.Com</author>
  </authors>
  <commentList>
    <comment ref="B85" authorId="0">
      <text>
        <r>
          <rPr>
            <b/>
            <sz val="8"/>
            <color indexed="81"/>
            <rFont val="Tahoma"/>
            <family val="2"/>
          </rPr>
          <t>Vinaghost.Com:</t>
        </r>
        <r>
          <rPr>
            <sz val="8"/>
            <color indexed="81"/>
            <rFont val="Tahoma"/>
            <family val="2"/>
          </rPr>
          <t xml:space="preserve">
Lưu ý: là cả 3 cấp đều có cơ sở vật chất đạt chuẩn quốc gia </t>
        </r>
      </text>
    </comment>
  </commentList>
</comments>
</file>

<file path=xl/comments4.xml><?xml version="1.0" encoding="utf-8"?>
<comments xmlns="http://schemas.openxmlformats.org/spreadsheetml/2006/main">
  <authors>
    <author>BaCuong</author>
  </authors>
  <commentList>
    <comment ref="K1015" authorId="0">
      <text>
        <r>
          <rPr>
            <b/>
            <sz val="8"/>
            <color indexed="81"/>
            <rFont val="Tahoma"/>
            <family val="2"/>
          </rPr>
          <t>BaCuong:</t>
        </r>
        <r>
          <rPr>
            <sz val="8"/>
            <color indexed="81"/>
            <rFont val="Tahoma"/>
            <family val="2"/>
          </rPr>
          <t xml:space="preserve">
Tiền đầu tư đường vào trường
</t>
        </r>
      </text>
    </comment>
    <comment ref="L1015" authorId="0">
      <text>
        <r>
          <rPr>
            <b/>
            <sz val="8"/>
            <color indexed="81"/>
            <rFont val="Tahoma"/>
            <family val="2"/>
          </rPr>
          <t>BaCuong:</t>
        </r>
        <r>
          <rPr>
            <sz val="8"/>
            <color indexed="81"/>
            <rFont val="Tahoma"/>
            <family val="2"/>
          </rPr>
          <t xml:space="preserve">
Tiền đầu tư đường vào trường
</t>
        </r>
      </text>
    </comment>
  </commentList>
</comments>
</file>

<file path=xl/sharedStrings.xml><?xml version="1.0" encoding="utf-8"?>
<sst xmlns="http://schemas.openxmlformats.org/spreadsheetml/2006/main" count="3392" uniqueCount="1079">
  <si>
    <t>hÖ thèng c¸c tr­êng mÇm non giai ®o¹n 2000-2007</t>
  </si>
  <si>
    <t>TT</t>
  </si>
  <si>
    <t>Các tiêu chí</t>
  </si>
  <si>
    <t>Đ.chính</t>
  </si>
  <si>
    <t>Đ.bản</t>
  </si>
  <si>
    <t>Năm 2000</t>
  </si>
  <si>
    <t>Năm 2001</t>
  </si>
  <si>
    <t>Năm 2002</t>
  </si>
  <si>
    <t>Năm 2003</t>
  </si>
  <si>
    <t>Năm 2004</t>
  </si>
  <si>
    <t>Năm 2005</t>
  </si>
  <si>
    <t>Năm 2006</t>
  </si>
  <si>
    <t>Năm 2007</t>
  </si>
  <si>
    <t>Số lớp, nhóm trẻ</t>
  </si>
  <si>
    <t>Số trẻ huy động ra lớp</t>
  </si>
  <si>
    <t>Số CB-GV-NV</t>
  </si>
  <si>
    <t>Trường ngoài công lập</t>
  </si>
  <si>
    <t>Trong đó: Số nhóm trẻ</t>
  </si>
  <si>
    <t>Trường chuẩn quốc gia</t>
  </si>
  <si>
    <t>Số lớp mẫu giáo</t>
  </si>
  <si>
    <t>Số lớp mẫu giáo 5 tuổi</t>
  </si>
  <si>
    <t>Trẻ mẫu giáo</t>
  </si>
  <si>
    <t>Trong đó mẫu giáo 5 tuổi</t>
  </si>
  <si>
    <t>Số giáo viên</t>
  </si>
  <si>
    <t>Giáo viên nhà trẻ</t>
  </si>
  <si>
    <t>Giáo viên mẫu giáo</t>
  </si>
  <si>
    <t>Giáo viên chuẩn trở lên</t>
  </si>
  <si>
    <t>Nhân viên khác</t>
  </si>
  <si>
    <t>Tổng số sân chơi</t>
  </si>
  <si>
    <t>Tỷ lệ học sinh/lớp</t>
  </si>
  <si>
    <t>Tỷ lệ giáo viên/lớp</t>
  </si>
  <si>
    <t>Tỷ lệ huy động</t>
  </si>
  <si>
    <t>Chia ra: độ tuổi 0-2</t>
  </si>
  <si>
    <t>Độ tuổi 3-5</t>
  </si>
  <si>
    <t>Độ tuổi 5</t>
  </si>
  <si>
    <t>Phòng bán kiên cố</t>
  </si>
  <si>
    <t>Phòng tạm</t>
  </si>
  <si>
    <t>Trong đó: Phòng kiên cố</t>
  </si>
  <si>
    <t>Trong đó: Cán bộ quản lý</t>
  </si>
  <si>
    <t>Trong đó: Trẻ nhà trẻ</t>
  </si>
  <si>
    <t>Số trường</t>
  </si>
  <si>
    <t>Số phòng học</t>
  </si>
  <si>
    <t>Một số tỷ lệ</t>
  </si>
  <si>
    <t>Trong đó:  Trường công lập</t>
  </si>
  <si>
    <t>HỆ THỐNG CÁC TRƯỜNG MẦM NON GIAI ĐOẠN 2000-2007</t>
  </si>
  <si>
    <t>1</t>
  </si>
  <si>
    <t>12,4</t>
  </si>
  <si>
    <t>21,4</t>
  </si>
  <si>
    <t>15,5</t>
  </si>
  <si>
    <t>15,7</t>
  </si>
  <si>
    <t>32,2</t>
  </si>
  <si>
    <t>52,8</t>
  </si>
  <si>
    <t>59,1</t>
  </si>
  <si>
    <t>40,2</t>
  </si>
  <si>
    <t>21,8</t>
  </si>
  <si>
    <t>35,7</t>
  </si>
  <si>
    <t>25,5</t>
  </si>
  <si>
    <t>57,2</t>
  </si>
  <si>
    <t>83,6</t>
  </si>
  <si>
    <t xml:space="preserve"> </t>
  </si>
  <si>
    <t>Trong đó:  Trường chuẩn Quốc gia</t>
  </si>
  <si>
    <t xml:space="preserve">     - Chi đầu tư phát triển</t>
  </si>
  <si>
    <t>Trong đó: - Chi sự nghiệp</t>
  </si>
  <si>
    <t>Kinh phí (tr.đồng):</t>
  </si>
  <si>
    <t>Năm 2010</t>
  </si>
  <si>
    <t>Năm 2011</t>
  </si>
  <si>
    <t>Năm 2012</t>
  </si>
  <si>
    <t>Năm 2013</t>
  </si>
  <si>
    <t>Năm 2014</t>
  </si>
  <si>
    <t>Năm 2015</t>
  </si>
  <si>
    <t>HỆ THỐNG CÁC TRƯỜNG MẦM NON GIAI ĐOẠN 2010-2015</t>
  </si>
  <si>
    <t>Ghi chú: số liệu lấy tại thời điểm đầu năm học, riêng kinh phí lấy tại thời điểm tháng 12 hàng năm.</t>
  </si>
  <si>
    <t>Số giáo viên, chia ra:</t>
  </si>
  <si>
    <t>+ Giáo viên nhà trẻ</t>
  </si>
  <si>
    <t>+ Giáo viên mẫu giáo</t>
  </si>
  <si>
    <t>Chia ra:    Độ tuổi 0-2</t>
  </si>
  <si>
    <t>Đơn vị</t>
  </si>
  <si>
    <t>Năm 2016</t>
  </si>
  <si>
    <t>Năm 2017</t>
  </si>
  <si>
    <t>Năm 2018</t>
  </si>
  <si>
    <t>Năm 2019</t>
  </si>
  <si>
    <t>Năm 2020</t>
  </si>
  <si>
    <t>Năm 2021</t>
  </si>
  <si>
    <t>Năm 2022</t>
  </si>
  <si>
    <t>Năm 2023</t>
  </si>
  <si>
    <t>Năm 2024</t>
  </si>
  <si>
    <t>Năm 2025</t>
  </si>
  <si>
    <t>Năm 2030</t>
  </si>
  <si>
    <t>trường</t>
  </si>
  <si>
    <t>Trong đó:  - Trường chuẩn Quốc gia</t>
  </si>
  <si>
    <t>"</t>
  </si>
  <si>
    <t>điểm tr</t>
  </si>
  <si>
    <t>Dân số độ tuổi</t>
  </si>
  <si>
    <t>Dân số 0-5 tuổi</t>
  </si>
  <si>
    <t>người</t>
  </si>
  <si>
    <t>Chia ra:   Dân số 0-2 tuổi</t>
  </si>
  <si>
    <t>Dân số 3-5 tuổi</t>
  </si>
  <si>
    <t>Dân số 5 tuổi</t>
  </si>
  <si>
    <t xml:space="preserve">Tỷ lệ huy động  </t>
  </si>
  <si>
    <t>Tỉ lệ huy động trẻ em nhà trẻ (0-2 tuổi)</t>
  </si>
  <si>
    <t>%</t>
  </si>
  <si>
    <t>Tỉ lệ huy động trẻ mẫu giáo (3-5 tuổi)</t>
  </si>
  <si>
    <t>Tỉ lệ huy động trẻ mẫu giáo 5 tuổi</t>
  </si>
  <si>
    <t>Số trẻ ra lớp</t>
  </si>
  <si>
    <t>nhóm</t>
  </si>
  <si>
    <t>lớp</t>
  </si>
  <si>
    <t>Phòng học</t>
  </si>
  <si>
    <t>phòng</t>
  </si>
  <si>
    <t>lớp/ph</t>
  </si>
  <si>
    <t>Tỷ lệ phòng/trường</t>
  </si>
  <si>
    <t>ph/tr</t>
  </si>
  <si>
    <t>bếp</t>
  </si>
  <si>
    <t>Phòng công vụ cho giáo viên</t>
  </si>
  <si>
    <t>công tr</t>
  </si>
  <si>
    <t>nước</t>
  </si>
  <si>
    <t>Sân</t>
  </si>
  <si>
    <t>Tr.đồng</t>
  </si>
  <si>
    <t>Trong đó: kiên cố</t>
  </si>
  <si>
    <t>xã</t>
  </si>
  <si>
    <t>Phổ cập GDMN cho trẻ em 5 tuổi</t>
  </si>
  <si>
    <t>Số xã đạt chuẩn</t>
  </si>
  <si>
    <t>Ghi chú: số liệu lấy tại thời điểm đầu năm học, riêng số xã đạt chuẩn phổ cập GDMN cho trẻ em 5 tuổi và kinh phí lấy tại thời điểm tháng 12 hàng năm.</t>
  </si>
  <si>
    <t>Trong đó: phòng kiên cố</t>
  </si>
  <si>
    <t>Trong đó:   - Chi sự nghiệp</t>
  </si>
  <si>
    <t>Tỉ lệ huy động trẻ em gái ra lớp</t>
  </si>
  <si>
    <t>Tỉ lệ huy động trẻ em dân tộc ra lớp</t>
  </si>
  <si>
    <t>Tỉ lệ huy động trẻ em khuyết tật ra lớp</t>
  </si>
  <si>
    <t>Tỉ lệ trẻ suy dinh dưỡng thể nhẹ cân</t>
  </si>
  <si>
    <t>Tỉ lệ trẻ suy dinh dưỡng thể thấp còi</t>
  </si>
  <si>
    <t xml:space="preserve"> Trong đó:  Số trẻ thuộc xã đặc biệt khó khăn</t>
  </si>
  <si>
    <t xml:space="preserve">               Số trẻ được tổ chức ăn trưa tại trường</t>
  </si>
  <si>
    <t>lớp, nh</t>
  </si>
  <si>
    <t>Kinh phí chi hàng năm</t>
  </si>
  <si>
    <t>Trong đó:   Đã qua bồi dưỡng quản lý giáo dục</t>
  </si>
  <si>
    <t xml:space="preserve">Chia ra theo trình độ đào tạo:   </t>
  </si>
  <si>
    <t>Đại học</t>
  </si>
  <si>
    <t>Cao đẳng</t>
  </si>
  <si>
    <t>Trung cấp</t>
  </si>
  <si>
    <t>- Nhân viên y tế</t>
  </si>
  <si>
    <t>- Thư viện</t>
  </si>
  <si>
    <t>- Thiết bị</t>
  </si>
  <si>
    <t>- Phục vụ</t>
  </si>
  <si>
    <t>- Bảo vệ</t>
  </si>
  <si>
    <t>- Nhân viên khác</t>
  </si>
  <si>
    <t>Cơ sở vật chất</t>
  </si>
  <si>
    <t>Nhà bếp (hoặc nhà ăn)</t>
  </si>
  <si>
    <t>ngăn (ô)</t>
  </si>
  <si>
    <t>Phòng phục vụ học tập (bao gồm phòng Giáo dục thể chất, giáo dục nghệ thuật, phòng đa năng)</t>
  </si>
  <si>
    <t xml:space="preserve">               Số trẻ người dân tộc rất ít người</t>
  </si>
  <si>
    <t>Công trình (nhà) WC (cả trường chính, điểm trường)</t>
  </si>
  <si>
    <t>Tổng số sân chơi (cả trường chính, điểm trường)</t>
  </si>
  <si>
    <t>Tỷ lệ trẻ ĐBKK trung bình 77%; hàng năm tăng 0,015% theo tỷ lệ tăng tự nhiên</t>
  </si>
  <si>
    <t>Tỷ lệ ăn trưa tại trường trung bình 8,8. tăng hàng năm 1%</t>
  </si>
  <si>
    <t>Tỷ lệ phòng MN</t>
  </si>
  <si>
    <t>bằng dân số nhân tỷ lệ</t>
  </si>
  <si>
    <t>Năm 2014-2030 nguồn dân số cục thống kê</t>
  </si>
  <si>
    <t>Tỷ lệ chung 99%. Tăng hàng năm 0,01</t>
  </si>
  <si>
    <t>Số Cán bộ - giáo viên - nhân viên</t>
  </si>
  <si>
    <t>trung bình 2.9 cán bộ quản lý/trường</t>
  </si>
  <si>
    <t>trung bình 90% giáo viên đã được bồi dưỡng, đến năm 2020 100% được bồi dưỡng</t>
  </si>
  <si>
    <t>trung bình 1,5 giáo viên.lớp</t>
  </si>
  <si>
    <t>trung bình 0,93 nhân viên/trường</t>
  </si>
  <si>
    <t>trung bình 0,64 nhân viên/trường</t>
  </si>
  <si>
    <t>trung bình 0,87 nhân viên/trường</t>
  </si>
  <si>
    <t>trung bình 0,98 nhân viên/trường</t>
  </si>
  <si>
    <t>trung bình 0,70 nhân viên/trường</t>
  </si>
  <si>
    <t>Tăng trường</t>
  </si>
  <si>
    <t>Tỷ lê trẻ/lớp</t>
  </si>
  <si>
    <t>Cường</t>
  </si>
  <si>
    <t>Tỷ lệ trẻ ĐBKK trung bình 58%</t>
  </si>
  <si>
    <t>chức năng</t>
  </si>
  <si>
    <t>công vụ</t>
  </si>
  <si>
    <t>nội trú</t>
  </si>
  <si>
    <t>WC</t>
  </si>
  <si>
    <t>Nước</t>
  </si>
  <si>
    <t>Giai đoạn 2010-2015</t>
  </si>
  <si>
    <t>Giai đoạn 2016-2025, định hướng đến 2030</t>
  </si>
  <si>
    <t>QUY MÔ GIÁO DỤC MẦM NON GIAI ĐOẠN 2010-2025, ĐỊNH HƯỚNG ĐẾN NĂM 2030</t>
  </si>
  <si>
    <t>đến năm 2020 có trên 60% trường chuẩn QG</t>
  </si>
  <si>
    <t>- Trường PTDTBT</t>
  </si>
  <si>
    <t>- Trường dạy tiếng (Mông, Thái)</t>
  </si>
  <si>
    <t>theo ĐA tiếng Mông, tiếng Thái</t>
  </si>
  <si>
    <t>- Số điểm trường</t>
  </si>
  <si>
    <t>Dân số 6 tuổi</t>
  </si>
  <si>
    <t>DS từ năm 2014 của Cục T Kê</t>
  </si>
  <si>
    <t>Dân số 6-10 tuổi</t>
  </si>
  <si>
    <t>Tỷ lệ huy động trẻ 6 tuổi vào lớp 1</t>
  </si>
  <si>
    <t>Tỷ lệ huy động trẻ 6-10 tuổi học tiểu học</t>
  </si>
  <si>
    <t>Tỷ lệ huy động học sinh nữ ra lớp</t>
  </si>
  <si>
    <t>Tỉ lệ huy động học sinh dân tộc ra lớp</t>
  </si>
  <si>
    <t>năm 2013 (55653/63281=87,9)</t>
  </si>
  <si>
    <t>Tỉ lệ huy động học sinh khuyết tật ra lớp</t>
  </si>
  <si>
    <t>năm 2014 (55664/63622=87,5)</t>
  </si>
  <si>
    <t>Tỉ lệ huy động học sinh học 2 buổi/ngày</t>
  </si>
  <si>
    <t>năm 2015 (56268/64595=87,1)</t>
  </si>
  <si>
    <t>Tỷ lệ học sinh lên lớp</t>
  </si>
  <si>
    <t>Tỷ lệ học sinh lưu ban</t>
  </si>
  <si>
    <t>Tỷ lệ học sinh 11 tuổi HTCT tiểu học</t>
  </si>
  <si>
    <t>Tỷ lệ học sinh bỏ học</t>
  </si>
  <si>
    <t>Tổng số học sinh</t>
  </si>
  <si>
    <t>Số HS tăng 0,02/năm</t>
  </si>
  <si>
    <t>Số học sinh bán trú</t>
  </si>
  <si>
    <t>Số học sinh học 2 buổi/ngày</t>
  </si>
  <si>
    <t>Số học sinh học tiếng Mông, tiếng Thái</t>
  </si>
  <si>
    <t>Số học sinh người dân tộc rất ít người</t>
  </si>
  <si>
    <t>Số học sinh 6 tuổi học lớp 1</t>
  </si>
  <si>
    <t>Số HS 6 tuổi bằng dân số x tỷ lệ huy động</t>
  </si>
  <si>
    <t>Số học sinh 6- 10 tuổi học tiểu học</t>
  </si>
  <si>
    <t>Số HS 6 -10 tuổi bằng dân số x tỷ lệ huy động</t>
  </si>
  <si>
    <t>Tổng số lớp</t>
  </si>
  <si>
    <t>trung bình 20HS/lớp</t>
  </si>
  <si>
    <t>học sinh</t>
  </si>
  <si>
    <t>trung bình 20lớp/trường</t>
  </si>
  <si>
    <t xml:space="preserve">  Số lớp học 2 buổi/ngày</t>
  </si>
  <si>
    <t>trung bình 22hs/lớp</t>
  </si>
  <si>
    <t>Tổng số CB-GV-NV</t>
  </si>
  <si>
    <t>Đến năm 2020 đạt 100% CBQL qua bồi dưỡng</t>
  </si>
  <si>
    <t xml:space="preserve">Giáo viên chia theo trình độ đào tạo:   </t>
  </si>
  <si>
    <t>Giáo viên chia theo môn dạy</t>
  </si>
  <si>
    <t>Tin học</t>
  </si>
  <si>
    <t>trung bình 0.97 nhân viên/trường</t>
  </si>
  <si>
    <t>trung bình 0.64 nhân viên/trường</t>
  </si>
  <si>
    <t>trung bình 0.93.7 nhân viên/trường</t>
  </si>
  <si>
    <t>trung bình 0.58 nhân viên/trường</t>
  </si>
  <si>
    <t>trung bình 0.89 nhân viên/trường</t>
  </si>
  <si>
    <t>trung bình 1.22 nhân viên/trường</t>
  </si>
  <si>
    <t>trung bình 0.82 nhân viên/trường</t>
  </si>
  <si>
    <t>Tỷ lệ phòng/lớp</t>
  </si>
  <si>
    <t>Phòng học chức năng  (phòng tin học, ngoại ngữ, nghệ thuật, âm nhạc, đa năng)</t>
  </si>
  <si>
    <t>Phòng ở nội trú cho học sinh</t>
  </si>
  <si>
    <t>Công trình (nhà) WC (trường chính, điểm trường)</t>
  </si>
  <si>
    <t>Trong đó: Số công trình (nhà) WC kiên cố</t>
  </si>
  <si>
    <t>Điểm trường có nước hợp vệ sinh</t>
  </si>
  <si>
    <t>Phổ cập Giáo dục tiểu học</t>
  </si>
  <si>
    <t>Số xã đạt chuẩn PC GDTH mức độ 1</t>
  </si>
  <si>
    <t>Số xã đạt chuẩn PC GDTH mức độ 2</t>
  </si>
  <si>
    <t>Số xã đạt chuẩn PC GDTH mức độ 3</t>
  </si>
  <si>
    <t>Xóa mù chữ</t>
  </si>
  <si>
    <t>Số xã đạt chuẩn Xóa mù chữ mức độ 1</t>
  </si>
  <si>
    <t>Số xã đạt chuẩn Xóa mù chữ mức độ 2</t>
  </si>
  <si>
    <t>QUY MÔ GIÁO DỤC TIỂU HỌC GIAI ĐOẠN 2010-2025, ĐỊNH HƯỚNG ĐẾN NĂM 2030</t>
  </si>
  <si>
    <t>Dân số 11 tuổi</t>
  </si>
  <si>
    <t>Dân số 11-14 tuổi</t>
  </si>
  <si>
    <t>Tỷ lệ huy động trẻ 11 tuổi vào lớp 6</t>
  </si>
  <si>
    <t xml:space="preserve">Tỷ lệ huy động trẻ 11-14 tuổi ra lớp </t>
  </si>
  <si>
    <t>Tỷ lệ học sinh tốt nghiệp THCS</t>
  </si>
  <si>
    <t>Số học sinh bán trú (theo QĐ 85)</t>
  </si>
  <si>
    <t>Bằng % của HSBT năm trước nhân số HS năm sau</t>
  </si>
  <si>
    <t>Theo đề án</t>
  </si>
  <si>
    <t>Theo thực tế của phòng GD</t>
  </si>
  <si>
    <t>Số học sinh 11 tuổi học lớp 6</t>
  </si>
  <si>
    <t>Số học sinh 11 - 14 tuổi học THCS</t>
  </si>
  <si>
    <t>Số học sinh/lớp</t>
  </si>
  <si>
    <t>trung bình 30 HS trên lớp</t>
  </si>
  <si>
    <t>trung bình 2.52 CBQL/trường</t>
  </si>
  <si>
    <t>trung bình 2 giáo viên/lớp</t>
  </si>
  <si>
    <t xml:space="preserve"> - Văn - Sử - GDCD</t>
  </si>
  <si>
    <t xml:space="preserve"> - Sinh - Hoá - Địa</t>
  </si>
  <si>
    <t xml:space="preserve"> - Ngoại ngữ</t>
  </si>
  <si>
    <t xml:space="preserve"> - Thể dục</t>
  </si>
  <si>
    <t xml:space="preserve"> - Nhạc</t>
  </si>
  <si>
    <t xml:space="preserve"> - Họa</t>
  </si>
  <si>
    <t xml:space="preserve"> - Công nghệ</t>
  </si>
  <si>
    <t>trung bình 7 nhân viên/trường</t>
  </si>
  <si>
    <t>Phòng học bộ môn  (bao gồm phòng bộ môn Vật lý, Hóa học, sinh học, tin học, ngoại ngữ, công nghệ, âm nhạc, đa năng)</t>
  </si>
  <si>
    <t xml:space="preserve">Công trình (nhà) WC </t>
  </si>
  <si>
    <t>Số công trình (nhà) WC kiên cố</t>
  </si>
  <si>
    <t>Phổ cập Giáo dục trung học cơ sở</t>
  </si>
  <si>
    <t>Số xã đạt chuẩn PC GDTHCS mức độ 1</t>
  </si>
  <si>
    <t>Số xã đạt chuẩn PC GDTHCS mức độ 2</t>
  </si>
  <si>
    <t>Số xã đạt chuẩn PC GDTHCS mức độ 3</t>
  </si>
  <si>
    <t xml:space="preserve">Nông thôn mới </t>
  </si>
  <si>
    <t>Số xã đạt cả tiêu chí số 5 và tiêu chí số 14</t>
  </si>
  <si>
    <t>Số xã đạt chuẩn tiêu chí số 5 (chuẩn cơ sở vật chất)</t>
  </si>
  <si>
    <t>Số xã đạt chuẩn tiêu chí số 14 ( đạt chuẩn Phổ cập THCS; Huy động 70% tốt nghiệp THCS vào THPT, TTGDTX;  20% lao động qua đào tạo</t>
  </si>
  <si>
    <t>Ghi chú: số liệu lấy tại thời điểm đầu năm học, riêng số xã đạt chuẩn phổ cập GDTHCS và kinh phí lấy tại thời điểm tháng 12 hàng năm.</t>
  </si>
  <si>
    <t>QUY MÔ GIÁO DỤC THCS GIAI ĐOẠN 2010-2020, ĐỊNH HƯỚNG ĐẾN 2030</t>
  </si>
  <si>
    <t>Thông tin  nhà trường</t>
  </si>
  <si>
    <t>Trường phổ thông DTNT</t>
  </si>
  <si>
    <t>Đợi đề án DTNT: tách trường, tăng quy mô</t>
  </si>
  <si>
    <t>Trường chuẩn Quốc gia</t>
  </si>
  <si>
    <t>Tỷ lệ huy động trẻ 15 tuổi vào lớp 10</t>
  </si>
  <si>
    <t>Tỷ lệ học sinh nữ/tổng số học sinh</t>
  </si>
  <si>
    <t>Tỉ lệ học sinh dân tộc</t>
  </si>
  <si>
    <t>Tỷ lệ học sinh tốt nghiệp THPT</t>
  </si>
  <si>
    <t>bằng DS 15-18 nhân với tỷ lệ huy động trừ đi khoảng 20% đang học nghề, học chuyên nghiệp,... còn lại là đang học THPT</t>
  </si>
  <si>
    <t>số HS bán trú ước bằng 40% tổng số học sinh</t>
  </si>
  <si>
    <t>đến năm 2020 có 60% học sinh học 2 buổi/ngày đến năm 2025 có 80% học sinh học 2 buổi/ngày, năm 2030 có 100%</t>
  </si>
  <si>
    <t>Số học sinh học khuyết tật</t>
  </si>
  <si>
    <t>Đến năm 2020 có 35HS/lớp</t>
  </si>
  <si>
    <t>Số lớp tại trường PT DTNT THPT</t>
  </si>
  <si>
    <t>Số lớp tại trường chuyên</t>
  </si>
  <si>
    <t>trung bình 3,13 CBQL/trường</t>
  </si>
  <si>
    <t>trung bình 2,33 giáo viên/lớp</t>
  </si>
  <si>
    <t>Ngoại ngữ</t>
  </si>
  <si>
    <t>trung bình 11,66 nhân viên/trường</t>
  </si>
  <si>
    <t>- Nhân viên thiết bị - thí nghiệm</t>
  </si>
  <si>
    <t>- y tế</t>
  </si>
  <si>
    <t>- Kế toán</t>
  </si>
  <si>
    <t>- Thủ quỹ</t>
  </si>
  <si>
    <t>- Giáo vụ</t>
  </si>
  <si>
    <t>- Kỹ thuật viên</t>
  </si>
  <si>
    <t>- Văn thư</t>
  </si>
  <si>
    <t>- Đoàn đội</t>
  </si>
  <si>
    <t>Tỷ lệ lớp/phòng</t>
  </si>
  <si>
    <t>Phòng học bộ môn  (bao gồm phòng bộ môn Vật lý, Hóa học, sinh học, tin học, ngoại ngữ, công nghệ)</t>
  </si>
  <si>
    <t>Nhà đa năng</t>
  </si>
  <si>
    <t>nhà</t>
  </si>
  <si>
    <t>Trong đó: nước hợp vệ sinh</t>
  </si>
  <si>
    <t>THPT</t>
  </si>
  <si>
    <t>Bổ túc</t>
  </si>
  <si>
    <t>Ra trường</t>
  </si>
  <si>
    <t>Tổng HS</t>
  </si>
  <si>
    <t>Nghề…</t>
  </si>
  <si>
    <t>Chung</t>
  </si>
  <si>
    <t>THTP..</t>
  </si>
  <si>
    <t>Dân số 15 tuổi</t>
  </si>
  <si>
    <t>Dân số 15 - 18 tuổi</t>
  </si>
  <si>
    <t>Nghề</t>
  </si>
  <si>
    <t>đa năng</t>
  </si>
  <si>
    <t>QUY MÔ GIÁO DỤC THPT GIAI ĐOẠN 2010-2020, ĐỊNH HƯỚNG ĐẾN 2030</t>
  </si>
  <si>
    <t>DANH SÁCH CÁC TRƯỜNG MẦM NON VÀ PHỔ THÔNG DỰ KIẾN THÀNH LẬP MỚI 
GIAI ĐOẠN 2016-2025, ĐỊNH HƯỚNG ĐẾN 2030</t>
  </si>
  <si>
    <t>Tên trường dự kiến thành lập mới</t>
  </si>
  <si>
    <t>Địa chỉ (xã, phường-huyện-thị xã-thành phố)</t>
  </si>
  <si>
    <t>Dự kiến năm thành lập</t>
  </si>
  <si>
    <t>Lớp</t>
  </si>
  <si>
    <t>Học sinh</t>
  </si>
  <si>
    <t>I</t>
  </si>
  <si>
    <t>Trường Mầm non</t>
  </si>
  <si>
    <t>Trường MN số 2 xã Pá Khoang</t>
  </si>
  <si>
    <t>Xã Pá Khoang huyện Điện Biên</t>
  </si>
  <si>
    <t>Điện Biên</t>
  </si>
  <si>
    <t>Trường MN Khén Pí</t>
  </si>
  <si>
    <t>Xã Xuân Lao huyện Mường Ảng</t>
  </si>
  <si>
    <t>Trường MN Huổi Quang</t>
  </si>
  <si>
    <t>Xã Ma Thì Hồ huyện Mường Chà</t>
  </si>
  <si>
    <t>12 trường</t>
  </si>
  <si>
    <t>Trường MN số 2 Thị trấn Mường Chà</t>
  </si>
  <si>
    <t>Thị trấn Mường Chà huyện Mường Chà</t>
  </si>
  <si>
    <t xml:space="preserve">Trường MN Vàng Đán </t>
  </si>
  <si>
    <t>Xã Vàng Đán  huyện Nậm Pồ</t>
  </si>
  <si>
    <t>Trường MN Nậm Tin</t>
  </si>
  <si>
    <t>Xã Nậm Tin huyện Nậm Pồ</t>
  </si>
  <si>
    <t>Trường MN Nậm Chua</t>
  </si>
  <si>
    <t>Xã Nậm Chua huyện Nậm Pồ</t>
  </si>
  <si>
    <t>Trường MN Nậm Nhừ</t>
  </si>
  <si>
    <t>Xã  Nậm Nhừ huyện Nậm Pồ</t>
  </si>
  <si>
    <t xml:space="preserve">Trường MN số 2 xã Quảng Lâm </t>
  </si>
  <si>
    <t>Xã Quảng Lâm huyện Mường Nhé</t>
  </si>
  <si>
    <t>Mường Ảng</t>
  </si>
  <si>
    <t xml:space="preserve">Trường MN số 2 xã Mường Toong </t>
  </si>
  <si>
    <t>Xã Mường Toong huyện Mường Nhé</t>
  </si>
  <si>
    <t>Trường MN số 2 xã Mường Nhé</t>
  </si>
  <si>
    <t>Xã Mường Nhé huyện Mường Nhé</t>
  </si>
  <si>
    <t>Trường MN Hoa Ban xã Thanh Xương</t>
  </si>
  <si>
    <t>Xã Thanh Xương huyện Điện Biên</t>
  </si>
  <si>
    <t>Trường MN Huổi Xuân</t>
  </si>
  <si>
    <t>Xã Huổi Mí huyện Mường Chà</t>
  </si>
  <si>
    <t>7 trường</t>
  </si>
  <si>
    <t>Xã Mường Tùng huyện Mường Chà</t>
  </si>
  <si>
    <t>Trường MN Thị trấn Nậm Pồ</t>
  </si>
  <si>
    <t>Thị trấn Nậm Pồ huyện Nậm Pồ</t>
  </si>
  <si>
    <t>Trường MN số 2 xã Si Pa Phìn</t>
  </si>
  <si>
    <t>Xã Si Pa Phìn huyện Nậm Pồ</t>
  </si>
  <si>
    <t>M Chà</t>
  </si>
  <si>
    <t>Trường MN Hoa Sen</t>
  </si>
  <si>
    <t>Xã Pú Hồng huyện Điện Biên Đông</t>
  </si>
  <si>
    <t>Trường MN số 2 phường Thanh Trường</t>
  </si>
  <si>
    <t>Phường Thanh Trường TP Điện Biên Phủ</t>
  </si>
  <si>
    <t>Trường MN số 2 xã Nậm Kè</t>
  </si>
  <si>
    <t>Xã Nậm Kè huyện Mường Nhé</t>
  </si>
  <si>
    <t xml:space="preserve">Trường MN Hua Mức </t>
  </si>
  <si>
    <t>Xã Pú Xi huyện Tuần Giáo</t>
  </si>
  <si>
    <t>Trường MN Xá Nhè 2</t>
  </si>
  <si>
    <t>Xã Xá Nhè huyện Tủa Chùa</t>
  </si>
  <si>
    <t>Trường MN số 2 phường Nam Thanh</t>
  </si>
  <si>
    <t>Phường Nam Thanh TP Điện Biên Phủ</t>
  </si>
  <si>
    <t>Nậm Pồ</t>
  </si>
  <si>
    <t>Trường MN số 2 xã Leng Su Sìn</t>
  </si>
  <si>
    <t>Xã Leng Su Sìn huyện Mường Nhé</t>
  </si>
  <si>
    <t>Trường MN Trống Giông</t>
  </si>
  <si>
    <t>Xã Phì Nhừ huyện Điện Biên Đông</t>
  </si>
  <si>
    <t>4 trường</t>
  </si>
  <si>
    <t>Trường MN số 2 xã Nà Bủng</t>
  </si>
  <si>
    <t>Xã Nà Bủng huyện Nậm Pồ</t>
  </si>
  <si>
    <t>1 trường</t>
  </si>
  <si>
    <t>Trường MN số 2 xã Nà Khoa</t>
  </si>
  <si>
    <t>Xã Nà Khoa huyện Nậm Pồ</t>
  </si>
  <si>
    <t>Trường MN số 2 xã Na Cô Sa</t>
  </si>
  <si>
    <t>Xã Na Cô Sa huyện Nậm Pồ</t>
  </si>
  <si>
    <t>Trường MN số 2 xã Sính Phình</t>
  </si>
  <si>
    <t>Xã Sính Phình huyện Tủa Chùa</t>
  </si>
  <si>
    <t>Trường MN số 2 xã Noong Luống</t>
  </si>
  <si>
    <t>Xã Noong Luống huyện Điện Biên</t>
  </si>
  <si>
    <t>Trường MN số 2 xã Luân Giói</t>
  </si>
  <si>
    <t>Xã Luân Giói huyện Điện Biên Đông</t>
  </si>
  <si>
    <t>Trường MN Chiềng Sơ số 2</t>
  </si>
  <si>
    <t>Xã Chiềng Sơ huyện Điện Biên Đông</t>
  </si>
  <si>
    <t>Trường Mầm non số 2 xã Thanh Luông</t>
  </si>
  <si>
    <t>Xã Thanh Luông huyện Điện Biên</t>
  </si>
  <si>
    <t>Trường MN số 2 xã Búng Lao</t>
  </si>
  <si>
    <t>Xã Búng Lao huyện Mường Ảng</t>
  </si>
  <si>
    <t>Tuần Giáo</t>
  </si>
  <si>
    <t>Trường MN số 2 xã Hừa Ngài</t>
  </si>
  <si>
    <t>Xã Hừa Ngài huyện Mường Chà</t>
  </si>
  <si>
    <t>8 trường</t>
  </si>
  <si>
    <t>Trường MN số 2 xã Hua Thanh</t>
  </si>
  <si>
    <t>Xã Hua Thanh huyện Điện Biên</t>
  </si>
  <si>
    <t>Trường MN số 2 xã Pom Lót</t>
  </si>
  <si>
    <t>Xã Pom Lót huyện Điện Biên</t>
  </si>
  <si>
    <t>Thị trấn Mường Ảng huyện Mường Ảng</t>
  </si>
  <si>
    <t>Trường MN số 2 xã Sa Lông</t>
  </si>
  <si>
    <t>Xã Sa Lông huyện Mường Chà</t>
  </si>
  <si>
    <t>Trường MN số 2 xã Chà Nưa</t>
  </si>
  <si>
    <t>Xã Chà Nưa huyện Nậm Pồ</t>
  </si>
  <si>
    <t>Tủa Chùa</t>
  </si>
  <si>
    <t>Trường MN số 1 Thị trấn Tuần Giáo</t>
  </si>
  <si>
    <t>Thị trấn Tuần Giáo huyện Tuần Giáo</t>
  </si>
  <si>
    <t>Trường MN số 3 phường Tân Thanh</t>
  </si>
  <si>
    <t>Trường MN Nậm Sin</t>
  </si>
  <si>
    <t>Xã Chung Chải huyện Mường Nhé</t>
  </si>
  <si>
    <t>Trường Mầm non số 2 xã Thanh Chăn</t>
  </si>
  <si>
    <t>Xã Thanh Chăn huyện Điện Biên</t>
  </si>
  <si>
    <t>ĐBĐ</t>
  </si>
  <si>
    <t>Trường MN số 2 xã Núa Ngam</t>
  </si>
  <si>
    <t>Xã Núa Ngam huyện Điện Biên</t>
  </si>
  <si>
    <t>Trường MN số 2 xã Thanh An</t>
  </si>
  <si>
    <t>Xã Thanh An huyện Điện Biên</t>
  </si>
  <si>
    <t>19 trường</t>
  </si>
  <si>
    <t>Trường MN số 2 xã Mường Lạn</t>
  </si>
  <si>
    <t>Xã Mường Lạn huyện Mường Ảng</t>
  </si>
  <si>
    <t>Trường MN số 2 xã Mường Đăng</t>
  </si>
  <si>
    <t>Xã Mường Đăng huyện Mường Ảng</t>
  </si>
  <si>
    <t>Trường MN số 2 xã Ẳng Nưa</t>
  </si>
  <si>
    <t>Xã Ảng Nưa huyện Mường Ảng</t>
  </si>
  <si>
    <t xml:space="preserve">Trường MN số 2 xã Phìn Hồ </t>
  </si>
  <si>
    <t>Xã Phìn Hồ  huyện Nậm Pồ</t>
  </si>
  <si>
    <t>Trường MN số 2 xã Rạng Đông</t>
  </si>
  <si>
    <t>Xã Rạng Đông huyện Tuần Giáo</t>
  </si>
  <si>
    <t>TP</t>
  </si>
  <si>
    <t>Trường MN số 2 xã Sín Chải</t>
  </si>
  <si>
    <t>Xã Sín Chải huyện Tủa Chùa</t>
  </si>
  <si>
    <t>M nhé</t>
  </si>
  <si>
    <t>Trường MN số 2 xã Tả Phìn</t>
  </si>
  <si>
    <t>Xã Tả Phìn huyện Tủa Chùa</t>
  </si>
  <si>
    <t>Trường MN số 2 xã Phình Giàng</t>
  </si>
  <si>
    <t>Xã Phình Giàng huyện Điện Biên Đông</t>
  </si>
  <si>
    <t>Trường MN số 2 xã Tìa Dình</t>
  </si>
  <si>
    <t>Xã Tìa Dình huyện Điện Biên Đông</t>
  </si>
  <si>
    <t>Trường MN số 2 xã Nong U</t>
  </si>
  <si>
    <t>Xã Nong U huyện Điện Biên Đông</t>
  </si>
  <si>
    <t>Trường MN số 2 xã Mường Luân</t>
  </si>
  <si>
    <t>Xã Mường Luân huyện Điện Biên Đông</t>
  </si>
  <si>
    <t>Trường MN số 2 xã Pá Mỳ</t>
  </si>
  <si>
    <t>Xã Pá Mỳ huyện Mường Nhé</t>
  </si>
  <si>
    <t>Trường MN số 2 xã Huổi Lếch</t>
  </si>
  <si>
    <t>Xã Huổi Lếch huyện Mường Nhé</t>
  </si>
  <si>
    <t>tổng</t>
  </si>
  <si>
    <t>II</t>
  </si>
  <si>
    <t>Trường Tiểu học</t>
  </si>
  <si>
    <t>Trường TH Bản Mo</t>
  </si>
  <si>
    <t>Xã Lay Nưa thị xã Mường Lay</t>
  </si>
  <si>
    <t>Trường TH Hua Hức</t>
  </si>
  <si>
    <t>Xã Pu Xi huyện Tuần Giáo</t>
  </si>
  <si>
    <t>Trường Tiểu học Thị trấn Nậm Pồ</t>
  </si>
  <si>
    <t>Xã Nà Hỳ huyện Nậm Pồ</t>
  </si>
  <si>
    <t>Trường TH Nậm Khăn</t>
  </si>
  <si>
    <t>Xã Nậm Khăn huyện Nậm Pồ</t>
  </si>
  <si>
    <t>Trường TH Nậm San</t>
  </si>
  <si>
    <t>Xã Mường Nhé huyện Mường Nhé</t>
  </si>
  <si>
    <t>Trường TH số 2 Chiềng Sơ</t>
  </si>
  <si>
    <t>Trường Na Cô Sa 2</t>
  </si>
  <si>
    <t>Trường TH Huổi Chạ</t>
  </si>
  <si>
    <t>Xã Nậm Vì huyện Mường Nhé</t>
  </si>
  <si>
    <t>Trường TH Leng Su Sìn Số 2</t>
  </si>
  <si>
    <t>Xã Leng Su Sìn huyện Mường Nhé</t>
  </si>
  <si>
    <t>Trường TH Pá Mỳ Số 2</t>
  </si>
  <si>
    <t>Xã Pá Mỳ huyện Mường Nhé</t>
  </si>
  <si>
    <t>Trường PTDTBT TH Xá Nhè 2</t>
  </si>
  <si>
    <t>Trường TH Mường Thanh</t>
  </si>
  <si>
    <t>Trường PTDTBT TH Nậm Tắt</t>
  </si>
  <si>
    <t>Trường TH Sông Đà</t>
  </si>
  <si>
    <t>Phường Sông Đà thị xã Mường Lay</t>
  </si>
  <si>
    <t>Bỏ</t>
  </si>
  <si>
    <t>Trường TH Huổi Lếch Số 2</t>
  </si>
  <si>
    <t xml:space="preserve">Trường TH Him Lam 2 </t>
  </si>
  <si>
    <t>Trường TH Mường Tùng 2</t>
  </si>
  <si>
    <t xml:space="preserve">Trường TH Nậm Sin </t>
  </si>
  <si>
    <t>Trường TH Sín Sủ</t>
  </si>
  <si>
    <t xml:space="preserve">Trường TH Huổi Tao </t>
  </si>
  <si>
    <t>Xã Pu Nhi huyện Điện Biên Đông</t>
  </si>
  <si>
    <t xml:space="preserve">Trường TH Tọ Cuông </t>
  </si>
  <si>
    <t>Xã Ảng Tở huyện Mường Ảng</t>
  </si>
  <si>
    <t xml:space="preserve">Trường TH Nậm Chẩn </t>
  </si>
  <si>
    <t>Trường TH Số 3 Thị trấn</t>
  </si>
  <si>
    <t>Thị trấn huyện Tuần Giáo</t>
  </si>
  <si>
    <t>Trường TH Nậm Kè Số 3</t>
  </si>
  <si>
    <t>Trường TH Nà Nếnh</t>
  </si>
  <si>
    <t>Trường TH số 2 Phình Giàng</t>
  </si>
  <si>
    <t>Trường TH số 2 Tìa Dình</t>
  </si>
  <si>
    <t>III</t>
  </si>
  <si>
    <t>Trường THCS</t>
  </si>
  <si>
    <t>Trường THCS Huổi Lếch</t>
  </si>
  <si>
    <t>Trường THCS Nậm Vì</t>
  </si>
  <si>
    <t>Trường THCS Leng Su Sìn</t>
  </si>
  <si>
    <t>Trường THCS Chiềng Đông</t>
  </si>
  <si>
    <t>Xã Chiềng Đông huyện Tuần Giáo</t>
  </si>
  <si>
    <t>Trường PTDTBT THCS Pú Xi</t>
  </si>
  <si>
    <t>Trường PTDTBT THCS Vàng Đán</t>
  </si>
  <si>
    <t>Xã Vàng Đán huyện Nậm Pồ</t>
  </si>
  <si>
    <t>Trường THCS Nậm Chua</t>
  </si>
  <si>
    <t>Trường THCS Nậm Nhừ</t>
  </si>
  <si>
    <t>Xã Nậm Nhừ huyện Nậm Pồ</t>
  </si>
  <si>
    <t>Trường THCS Nậm Tin</t>
  </si>
  <si>
    <t>Trường PTDTBT THCS xã Pá Khoang</t>
  </si>
  <si>
    <t>THCS xã Hua Thanh</t>
  </si>
  <si>
    <t>Bản Tâu 6 Xã Hua Thanh huyện Điện Biên</t>
  </si>
  <si>
    <t>Trường THCS Sen Thượng</t>
  </si>
  <si>
    <t>Xã Sen Thượng huyện Mường Nhé</t>
  </si>
  <si>
    <t>Trường THCS&amp;THPT Mường Đun</t>
  </si>
  <si>
    <t>Xã Mường Đun huyện Tủa Chùa</t>
  </si>
  <si>
    <t>Trường THCS Thị trấn Nậm Pồ</t>
  </si>
  <si>
    <t>Thị trấn huyện Nậm Pồ</t>
  </si>
  <si>
    <t>PTDTBT THCS xã Na Tông</t>
  </si>
  <si>
    <t>xã Na Tông, Huyện Điện Biên</t>
  </si>
  <si>
    <t>Trường THCS Nà Tòng</t>
  </si>
  <si>
    <t>Xã Nà Tòng huyện Tuần Giáo</t>
  </si>
  <si>
    <t>PTDTBT THCS xã Mường Lói</t>
  </si>
  <si>
    <t>Xã Mường Lói, Huyện Điện Biên</t>
  </si>
  <si>
    <t>Trường THCS xã Sam Mứn</t>
  </si>
  <si>
    <t>PTDTBT THCS xã Hẹ Muông</t>
  </si>
  <si>
    <t>Trường THCS Tà Lèng</t>
  </si>
  <si>
    <t>Trường THCS số 2 xã Phì nhừ</t>
  </si>
  <si>
    <t>Xã Phì Nhừ  huyện Điện Biên Đông</t>
  </si>
  <si>
    <t>Trường THCS số 2 xã Sa Dung</t>
  </si>
  <si>
    <t>Xã Sa Dung  huyện Điện Biên Đông</t>
  </si>
  <si>
    <t xml:space="preserve">Trường THCS số 2 xã Ma Thì Hồ </t>
  </si>
  <si>
    <t>Trường THCS số 2 xã Sá Tổng</t>
  </si>
  <si>
    <t>Xã Sá Tổng huyện Mường Chà</t>
  </si>
  <si>
    <t>Trường THCS số 2 xã Na Cô Sa</t>
  </si>
  <si>
    <t>Trường THCS số 2 Chung Chải</t>
  </si>
  <si>
    <t>Trường THCS Số 2 Mường Nhé</t>
  </si>
  <si>
    <t>Trường THCS Quài Tở</t>
  </si>
  <si>
    <t>Xã Quài Tở huyện Tuần Giáo</t>
  </si>
  <si>
    <t>Trường THCS Số 1 Thị trấn</t>
  </si>
  <si>
    <t>IV</t>
  </si>
  <si>
    <t>Trường THPT</t>
  </si>
  <si>
    <t>THCS &amp;THPT Quyết thắng</t>
  </si>
  <si>
    <t>THCS &amp;THPT Nậm Nèn</t>
  </si>
  <si>
    <t>Xã Nậm Nèn huyện Mường Chà</t>
  </si>
  <si>
    <t>THCS &amp; THPT Phì Nhừ</t>
  </si>
  <si>
    <t>THPT Noong Bua</t>
  </si>
  <si>
    <t>THCS&amp;THPT Na Sang</t>
  </si>
  <si>
    <t>Xã Na Sang huyện Mường Chà</t>
  </si>
  <si>
    <t>THPT Pú Tỉu</t>
  </si>
  <si>
    <t>THCS&amp;THPT Pu Nhi</t>
  </si>
  <si>
    <t>THCS&amp;THPT Chung Chải</t>
  </si>
  <si>
    <t>THPT Phình Sáng</t>
  </si>
  <si>
    <t>Xã Phình Sáng huyện Tuần Giáo</t>
  </si>
  <si>
    <t>THCS&amp;THPT Sín Thầu</t>
  </si>
  <si>
    <t>Xã Sín Thầu huyện Mường Nhé</t>
  </si>
  <si>
    <t>THCS&amp;THPT Mường Đăng</t>
  </si>
  <si>
    <t>THCS&amp;THPT Quài Nưa</t>
  </si>
  <si>
    <t>Xã Quài Nưa huyện Tuần Giáo</t>
  </si>
  <si>
    <t>THCS &amp; THPT Thanh Yên</t>
  </si>
  <si>
    <t>Xã Thanh Yên huyện Điện Biên</t>
  </si>
  <si>
    <t>THCS&amp;THPT Quảng Lâm</t>
  </si>
  <si>
    <t>Xã Quảng Lâm huyện Mường Nhé</t>
  </si>
  <si>
    <t>THCS&amp;THPT Mường Lạn</t>
  </si>
  <si>
    <t>Nhu cầu sử dụng đất (m2)</t>
  </si>
  <si>
    <t>Phường Tân Thanh TP. Điện Biên Phủ</t>
  </si>
  <si>
    <t>Phường Mường Thanh TP. Điện Biên Phủ</t>
  </si>
  <si>
    <t>Phường Him Lam TP. Điện Biên Phủ</t>
  </si>
  <si>
    <t>Xã Tà Lèng TP. Điện Biên Phủ</t>
  </si>
  <si>
    <t>Xã Noong Bua TP. Điện Biên Phủ</t>
  </si>
  <si>
    <t>Quy mô dự kiến</t>
  </si>
  <si>
    <t>7.1</t>
  </si>
  <si>
    <t>7.2</t>
  </si>
  <si>
    <t>7.3</t>
  </si>
  <si>
    <t>7.4</t>
  </si>
  <si>
    <t>7.5</t>
  </si>
  <si>
    <t>7.6</t>
  </si>
  <si>
    <t>7.7</t>
  </si>
  <si>
    <t>Công trình nước sinh hoạt (cả trường chính, điểm trường)</t>
  </si>
  <si>
    <t xml:space="preserve">                    - Chi đầu tư phát triển</t>
  </si>
  <si>
    <t xml:space="preserve">                    - Số điểm trường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</si>
  <si>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</si>
  <si>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</si>
  <si>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</si>
  <si>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</si>
  <si>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</si>
  <si>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</si>
  <si>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</si>
  <si>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</si>
  <si>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</si>
  <si>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</si>
  <si>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</si>
  <si>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 xml:space="preserve">Trẻ nhà trẻ  </t>
  </si>
  <si>
    <t xml:space="preserve">Trẻ mẫu giáo  </t>
  </si>
  <si>
    <t>4.1</t>
  </si>
  <si>
    <t>4.2</t>
  </si>
  <si>
    <t>4.3</t>
  </si>
  <si>
    <t>Trẻ 5 tuổi</t>
  </si>
  <si>
    <t xml:space="preserve"> Trong đó: -  Số trẻ thuộc xã đặc biệt khó khăn</t>
  </si>
  <si>
    <t xml:space="preserve">                   - Số trẻ được tổ chức ăn trưa tại trường</t>
  </si>
  <si>
    <t xml:space="preserve">                   - Số trẻ người dân tộc rất ít người</t>
  </si>
  <si>
    <t>Số nhóm trẻ</t>
  </si>
  <si>
    <t>5.1</t>
  </si>
  <si>
    <t>Tỷ lệ trẻ/nhóm trẻ</t>
  </si>
  <si>
    <t>5.2</t>
  </si>
  <si>
    <t>5.3</t>
  </si>
  <si>
    <t xml:space="preserve"> Số lớp mẫu giáo 5 tuổi</t>
  </si>
  <si>
    <t>6.1</t>
  </si>
  <si>
    <t>6.2</t>
  </si>
  <si>
    <t>Cán bộ quản lý</t>
  </si>
  <si>
    <t xml:space="preserve"> Số giáo viên</t>
  </si>
  <si>
    <t xml:space="preserve"> - Đại học</t>
  </si>
  <si>
    <t xml:space="preserve"> - Cao đẳng</t>
  </si>
  <si>
    <t xml:space="preserve"> - Trung cấp</t>
  </si>
  <si>
    <t xml:space="preserve"> - Trên đại học</t>
  </si>
  <si>
    <t>6.3</t>
  </si>
  <si>
    <t xml:space="preserve"> Nhân viên </t>
  </si>
  <si>
    <t>Trong đó:  - Nhân viên kế toán</t>
  </si>
  <si>
    <t>Trong đó:  - Phòng kiên cố</t>
  </si>
  <si>
    <t xml:space="preserve">                    - Tỷ lệ phòng/lớp, nhóm trẻ</t>
  </si>
  <si>
    <t xml:space="preserve">                   - Tỷ lệ phòng/trường</t>
  </si>
  <si>
    <t>Trong đó: Bếp ăn kiên cố</t>
  </si>
  <si>
    <t>Số ngăn (ô) WC</t>
  </si>
  <si>
    <t>Trong đó: - Trường chính có nước hợp vệ sinh</t>
  </si>
  <si>
    <t xml:space="preserve">                   - Điểm trường có nước hợp vệ sinh</t>
  </si>
  <si>
    <t>Trong đó: - Trường chính có sân chơi có đồ chơi</t>
  </si>
  <si>
    <t xml:space="preserve">                   - Điểm trường có sân chơi có đồ chơi</t>
  </si>
  <si>
    <t>3.9</t>
  </si>
  <si>
    <t>3.10</t>
  </si>
  <si>
    <t xml:space="preserve"> Số lớp trong trường PTDTBT</t>
  </si>
  <si>
    <t>Trong đó đã qua bồi dưỡng quản lý giáo dục</t>
  </si>
  <si>
    <t>Giáo viên phụ trách công tác đoàn, đội</t>
  </si>
  <si>
    <t>6.4</t>
  </si>
  <si>
    <t>6.5</t>
  </si>
  <si>
    <t xml:space="preserve"> - Âm nhạc</t>
  </si>
  <si>
    <t xml:space="preserve"> - Mỹ thuật</t>
  </si>
  <si>
    <t xml:space="preserve"> - Tin học</t>
  </si>
  <si>
    <t xml:space="preserve"> - Tiếng dân tộc</t>
  </si>
  <si>
    <t xml:space="preserve"> - Tiếng Anh</t>
  </si>
  <si>
    <t>Chia ra: - Nhân viên kế toán</t>
  </si>
  <si>
    <t>Giáo viên</t>
  </si>
  <si>
    <t>Công trình nước sinh hoạt (trường chính, điểm trường)</t>
  </si>
  <si>
    <t>Trong đó: Nhà bếp kiên cố</t>
  </si>
  <si>
    <t>Trường chính có nước hợp vệ sinh</t>
  </si>
  <si>
    <t>9.1</t>
  </si>
  <si>
    <t>9.2</t>
  </si>
  <si>
    <t>9.3</t>
  </si>
  <si>
    <t>10.1</t>
  </si>
  <si>
    <t>10.2</t>
  </si>
  <si>
    <t>4.4</t>
  </si>
  <si>
    <t>4.5</t>
  </si>
  <si>
    <t>4.6</t>
  </si>
  <si>
    <t>Số lớp trong trường PTDTBT</t>
  </si>
  <si>
    <t>Tỷ lệ giáo viên/nhóm,lớp</t>
  </si>
  <si>
    <t>Giáo viên phụ trách đoàn, đội</t>
  </si>
  <si>
    <t xml:space="preserve">Nhân viên </t>
  </si>
  <si>
    <t xml:space="preserve"> - Nhân viên kế toán</t>
  </si>
  <si>
    <t xml:space="preserve"> - Nhân viên y tế</t>
  </si>
  <si>
    <t xml:space="preserve"> - Thư viện</t>
  </si>
  <si>
    <t xml:space="preserve"> - Thiết bị</t>
  </si>
  <si>
    <t xml:space="preserve"> - Phục vụ</t>
  </si>
  <si>
    <t xml:space="preserve"> - Bảo vệ</t>
  </si>
  <si>
    <t>Giáo viên chia theo môn dạy:</t>
  </si>
  <si>
    <t xml:space="preserve"> - Toán - Lý - Tin</t>
  </si>
  <si>
    <t xml:space="preserve">Công trình nước sinh hoạt </t>
  </si>
  <si>
    <t>10.3</t>
  </si>
  <si>
    <t>1.1</t>
  </si>
  <si>
    <t>1.2</t>
  </si>
  <si>
    <t>2.4</t>
  </si>
  <si>
    <t>2.5</t>
  </si>
  <si>
    <t>2.6</t>
  </si>
  <si>
    <t>2.7</t>
  </si>
  <si>
    <t>2.8</t>
  </si>
  <si>
    <t xml:space="preserve">Tỷ lệ trẻ 15 - 18 tuổi học THPT và tương đương </t>
  </si>
  <si>
    <t>Số học sinh bán trú (theo QĐ12)</t>
  </si>
  <si>
    <t xml:space="preserve">Các tỷ lệ </t>
  </si>
  <si>
    <t xml:space="preserve">                 - Chi đầu tư phát triển</t>
  </si>
  <si>
    <t xml:space="preserve"> - Văn </t>
  </si>
  <si>
    <t xml:space="preserve"> - Sử</t>
  </si>
  <si>
    <t xml:space="preserve"> - Địa</t>
  </si>
  <si>
    <t xml:space="preserve"> - Toán</t>
  </si>
  <si>
    <t xml:space="preserve"> - Lý</t>
  </si>
  <si>
    <t xml:space="preserve"> - Hóa </t>
  </si>
  <si>
    <t xml:space="preserve"> - Sinh</t>
  </si>
  <si>
    <t xml:space="preserve"> - KTCN</t>
  </si>
  <si>
    <t xml:space="preserve"> - KTNN</t>
  </si>
  <si>
    <t xml:space="preserve"> - GDCD</t>
  </si>
  <si>
    <t xml:space="preserve"> - Nghề + Nhạc</t>
  </si>
  <si>
    <t xml:space="preserve"> - GDQP</t>
  </si>
  <si>
    <t>- Nhân viên thư viện</t>
  </si>
  <si>
    <t>6.6</t>
  </si>
  <si>
    <t>6.7</t>
  </si>
  <si>
    <t>6.8</t>
  </si>
  <si>
    <t>6.9</t>
  </si>
  <si>
    <t>Số công trình nước sinh hoạt</t>
  </si>
  <si>
    <t>Trung tâm Giáo dục thường xuyên</t>
  </si>
  <si>
    <t>Trung tâm Giáo dục nghề nghiệp - 
Giáo dục thường xuyên</t>
  </si>
  <si>
    <t>Trung tâm Ngoại ngữ - Tin học</t>
  </si>
  <si>
    <t>Trung tâm Ngoại ngữ</t>
  </si>
  <si>
    <t>Tổng số học viên</t>
  </si>
  <si>
    <t>Học viên lớp phổ cập - bổ túc, chia ra:</t>
  </si>
  <si>
    <t>Xóa mù chữ và Giáo dục tiếp tục sau biết chữ</t>
  </si>
  <si>
    <t>Phổ cập giáo dục trung học cơ sở</t>
  </si>
  <si>
    <t>Bổ túc THPT</t>
  </si>
  <si>
    <t>Học viên lớp đào tạo - bồi dưỡng, chia ra:</t>
  </si>
  <si>
    <t>Nghề ngắn hạn</t>
  </si>
  <si>
    <t>Tiếng dân tộc thiểu số</t>
  </si>
  <si>
    <t>Lớp phổ cập - bổ túc, chia ra:</t>
  </si>
  <si>
    <t>Lớp đào tạo - bồi dưỡng, chia ra:</t>
  </si>
  <si>
    <t>- Nhân viên thí nghiệm</t>
  </si>
  <si>
    <t>- Nhân viên KT nghiệp vụ (6)</t>
  </si>
  <si>
    <t>Trung tâm học tập cộng đồng</t>
  </si>
  <si>
    <t>Trung tâm</t>
  </si>
  <si>
    <t>- Nhân viên kế toán</t>
  </si>
  <si>
    <t>2016-2020</t>
  </si>
  <si>
    <t>DTNT huyện Tuần Giáo số 2</t>
  </si>
  <si>
    <t>DTNT huyện Nậm Pồ số 2</t>
  </si>
  <si>
    <t>2021-2025</t>
  </si>
  <si>
    <t>DTNT tỉnh số 2</t>
  </si>
  <si>
    <t>Thành phố Điện Biên Phủ</t>
  </si>
  <si>
    <t>Huyện Tuần Giáo</t>
  </si>
  <si>
    <t>Huyện Nậm Pồ</t>
  </si>
  <si>
    <t>DTNT huyện Mường Nhé số 2</t>
  </si>
  <si>
    <t>Huyện Mường Nhé</t>
  </si>
  <si>
    <t>Thiếu THCS&amp;THPT Si Pa Phìn</t>
  </si>
  <si>
    <t>Trường thực hành sư phạm</t>
  </si>
  <si>
    <t>Trường phổ thông năng khiếu thể dục thể thao</t>
  </si>
  <si>
    <t>TT hỗ trợ phát triển giáo dục hòa nhập của tỉnh</t>
  </si>
  <si>
    <t>TT Giáo dục nghề nghiệp - Giáo dục thường xuyên huyện Điện Biên</t>
  </si>
  <si>
    <t>TT Giáo dục nghề nghiệp - Giáo dục thường xuyên huyện Điện Biên Đông</t>
  </si>
  <si>
    <t>TT Giáo dục nghề nghiệp - Giáo dục thường xuyên thị xã Mường Lay</t>
  </si>
  <si>
    <t>TT Giáo dục nghề nghiệp - Giáo dục thường xuyên huyện Mường Chà</t>
  </si>
  <si>
    <t>TT Giáo dục nghề nghiệp - Giáo dục thường xuyên huyện Mường Nhé</t>
  </si>
  <si>
    <t>TT Giáo dục nghề nghiệp - Giáo dục thường xuyên huyện Nậm Pồ</t>
  </si>
  <si>
    <t>TT Giáo dục nghề nghiệp - Giáo dục thường xuyên huyện Mường Ảng</t>
  </si>
  <si>
    <t>TT Giáo dục nghề nghiệp - Giáo dục thường xuyên huyện Tuần Giáo</t>
  </si>
  <si>
    <t>TT Giáo dục nghề nghiệp - Giáo dục thường xuyên huyện Tủa Chùa</t>
  </si>
  <si>
    <t>Xã Sam Mứn huyện Điện Biên</t>
  </si>
  <si>
    <t>Xã Hẹ Muông huyện Điện Biên</t>
  </si>
  <si>
    <t>Huyện Điện Biên</t>
  </si>
  <si>
    <t>Huyện Điện Biên Đông</t>
  </si>
  <si>
    <t>Thị xã Mường Lay</t>
  </si>
  <si>
    <t>Huyện Mường Chà</t>
  </si>
  <si>
    <t>Huyện Mường Ảng</t>
  </si>
  <si>
    <t>Huyện Tủa Chùa</t>
  </si>
  <si>
    <t>TT hỗ trợ phát triển giáo dục hòa nhập huyện Điện Biên</t>
  </si>
  <si>
    <t>TT hỗ trợ phát triển giáo dục hòa nhập huyện Điện Biên Đông</t>
  </si>
  <si>
    <t>TT hỗ trợ phát triển giáo dục hòa nhập huyện Mường Chà</t>
  </si>
  <si>
    <t>TT hỗ trợ phát triển giáo dục hòa nhập huyện Nậm Pồ</t>
  </si>
  <si>
    <t>TT hỗ trợ phát triển giáo dục hòa nhập huyện Mường Ảng</t>
  </si>
  <si>
    <t>TT hỗ trợ phát triển giáo dục hòa nhập huyện Tuần Giáo</t>
  </si>
  <si>
    <t>V</t>
  </si>
  <si>
    <t>Các trường, trung tâm khác</t>
  </si>
  <si>
    <t>- Cán bộ quản lý</t>
  </si>
  <si>
    <t>THỰC TRẠNG VÀ DỰ KIẾN QUY MÔ PHÁT TRIỂN TRƯỜNG, LỚP, GIÁO VIÊN CAO ĐẲNG, ĐẠI HỌC GIAI ĐOẠN 2010-2025, ĐỊNH HƯỚNG ĐẾN 2030</t>
  </si>
  <si>
    <t>Đơn vị
tính</t>
  </si>
  <si>
    <t>Giai đoạn 2016-2025, định hướng đến năm 2030</t>
  </si>
  <si>
    <t>Năm 
2019</t>
  </si>
  <si>
    <t>Năm 
2020</t>
  </si>
  <si>
    <t>Năm 
2021</t>
  </si>
  <si>
    <t>Năm 
2030</t>
  </si>
  <si>
    <t>A</t>
  </si>
  <si>
    <t>Thông tin tổng hợp</t>
  </si>
  <si>
    <t>Trong đó: - Trường đại học</t>
  </si>
  <si>
    <t xml:space="preserve">                  - Trường cao đẳng</t>
  </si>
  <si>
    <t>Trường</t>
  </si>
  <si>
    <t xml:space="preserve">                  - Trường cao đẳng nghề</t>
  </si>
  <si>
    <t>Quy mô đào tạo bồi dưỡng</t>
  </si>
  <si>
    <t>1.</t>
  </si>
  <si>
    <t>Chính quy</t>
  </si>
  <si>
    <t>- Cao đẳng</t>
  </si>
  <si>
    <t>- Trung cấp</t>
  </si>
  <si>
    <t>- Cao đẳng nghề</t>
  </si>
  <si>
    <t>- Trung cấp nghề</t>
  </si>
  <si>
    <t>- Sơ cấp và các trình độ đào tạo khác (dưới 3 tháng)</t>
  </si>
  <si>
    <t>2.</t>
  </si>
  <si>
    <t>Vừa làm vừa học</t>
  </si>
  <si>
    <t>- Liên kết đào tạo đại học</t>
  </si>
  <si>
    <t>3.</t>
  </si>
  <si>
    <t>Bồi dưỡng cán bộ công chức cấp xã</t>
  </si>
  <si>
    <t>Tổng số cán bộ, giáo viên, nhân viên</t>
  </si>
  <si>
    <t>Cán bộ quản lý chia theo trình độ:</t>
  </si>
  <si>
    <t>Tiến sĩ</t>
  </si>
  <si>
    <t xml:space="preserve">                    Thạc sĩ </t>
  </si>
  <si>
    <t>Chuyên khoa Y cấp I, II</t>
  </si>
  <si>
    <t xml:space="preserve"> '- Số giáo viên, giảng viên</t>
  </si>
  <si>
    <t>Giáo viên, giảng viên chia theo ngành đào tạo</t>
  </si>
  <si>
    <t xml:space="preserve">             Chia ra:     </t>
  </si>
  <si>
    <t>Quản lí giáo dục</t>
  </si>
  <si>
    <t>Văn</t>
  </si>
  <si>
    <t>Lịch sử</t>
  </si>
  <si>
    <t>Địa lí</t>
  </si>
  <si>
    <t xml:space="preserve"> Toán học</t>
  </si>
  <si>
    <t>Vật lí</t>
  </si>
  <si>
    <t>Hóa học</t>
  </si>
  <si>
    <t>Sinh học</t>
  </si>
  <si>
    <t>Tâm lý GD</t>
  </si>
  <si>
    <t>Giáo dục chính trị</t>
  </si>
  <si>
    <t>Triết học</t>
  </si>
  <si>
    <t>Luật</t>
  </si>
  <si>
    <t>Tiếng Anh</t>
  </si>
  <si>
    <t>Thông tin thư viện</t>
  </si>
  <si>
    <t>Việt Nam học</t>
  </si>
  <si>
    <t>Công tác xã hội</t>
  </si>
  <si>
    <t>QL văn hóa</t>
  </si>
  <si>
    <t>Kĩ thuật công nghiệp</t>
  </si>
  <si>
    <t>Nhạc</t>
  </si>
  <si>
    <t>Họa</t>
  </si>
  <si>
    <t>Giáo dục Tiểu học</t>
  </si>
  <si>
    <t>Giáo dục Mầm non</t>
  </si>
  <si>
    <t>Giáo dục Thể chất</t>
  </si>
  <si>
    <t>Giáo dục Quốc phòng</t>
  </si>
  <si>
    <t>Kiểm định CLGD</t>
  </si>
  <si>
    <t>Tài chính - Ngân hàng</t>
  </si>
  <si>
    <t>Kế toán/ Kế toán doanh nghiệp</t>
  </si>
  <si>
    <t>Quản lý đất đai</t>
  </si>
  <si>
    <t>Khoa học cây trồng/ Trồng trọt</t>
  </si>
  <si>
    <t>Chăn nuôi - Thú y</t>
  </si>
  <si>
    <t>Lâm nghiệp</t>
  </si>
  <si>
    <t>Dịch vụ pháp lý/ Pháp luật</t>
  </si>
  <si>
    <t>Hành chính văn phòng</t>
  </si>
  <si>
    <t>Quản lý văn hóa</t>
  </si>
  <si>
    <t>Hướng dẫn du lịch</t>
  </si>
  <si>
    <t>Tin học ứng dụng</t>
  </si>
  <si>
    <t>Xây dựng dân dụng và công nghiệp</t>
  </si>
  <si>
    <t>Chuyên ngành Y</t>
  </si>
  <si>
    <t>Chuyên ngành dược</t>
  </si>
  <si>
    <t>Chuyên ngành khác (Tin học, Chính trị, Anh văn…)</t>
  </si>
  <si>
    <t>Cơ khí</t>
  </si>
  <si>
    <t>Công nghệ thông tin</t>
  </si>
  <si>
    <t>Điện</t>
  </si>
  <si>
    <t>Xây dựng</t>
  </si>
  <si>
    <t>Kế toán doanh nghiệp</t>
  </si>
  <si>
    <t>Dạy nghề lái xe</t>
  </si>
  <si>
    <t>Tin học - Ngoại ngữ Sơ cấp</t>
  </si>
  <si>
    <t>Văn hóa cơ bản</t>
  </si>
  <si>
    <t>Bộ môn chung</t>
  </si>
  <si>
    <t xml:space="preserve">-  Nhân viên </t>
  </si>
  <si>
    <t>Chia ra:'      - ……………..</t>
  </si>
  <si>
    <t xml:space="preserve">                    - Nhân viên kế toán</t>
  </si>
  <si>
    <t xml:space="preserve">Tổng diện tích đất </t>
  </si>
  <si>
    <t>m2</t>
  </si>
  <si>
    <t>Diện tích đất xây dựng</t>
  </si>
  <si>
    <t>Giảng đường/phòng học: Diện tích</t>
  </si>
  <si>
    <t>-Tổng số phòng</t>
  </si>
  <si>
    <t>Phòng thí nghiệm: diện tich</t>
  </si>
  <si>
    <t>- Số phòng</t>
  </si>
  <si>
    <t>Cơ sở nghiên cứu: diện tích</t>
  </si>
  <si>
    <t>Xưởng thực hành thí nghiệm: diện tích</t>
  </si>
  <si>
    <t>Phòng làm việc các khoa và CBQL</t>
  </si>
  <si>
    <t>-Diện tích</t>
  </si>
  <si>
    <t>Nhà tập đa năng: dien tích</t>
  </si>
  <si>
    <t>Thư viện: diện tích</t>
  </si>
  <si>
    <t>Nhà hiệu bộ: Diện tích</t>
  </si>
  <si>
    <t>- Số nhà</t>
  </si>
  <si>
    <t>Ký túc xá: Diện tích</t>
  </si>
  <si>
    <t>-Số phòng</t>
  </si>
  <si>
    <t xml:space="preserve">    - Chi đầu tư phát triển</t>
  </si>
  <si>
    <t>B</t>
  </si>
  <si>
    <t>Thông tin chi tiết</t>
  </si>
  <si>
    <t>Trường Cao đẳng Sư phạm Điện Biên</t>
  </si>
  <si>
    <t>1.1.</t>
  </si>
  <si>
    <t>1.2.</t>
  </si>
  <si>
    <t>Trường CĐ Kinh tế - KT</t>
  </si>
  <si>
    <t>2.1.</t>
  </si>
  <si>
    <t xml:space="preserve">- Cao đẳng </t>
  </si>
  <si>
    <t>2.2.</t>
  </si>
  <si>
    <t>- Trung cấp vừa làm vừa học</t>
  </si>
  <si>
    <t>2.3.</t>
  </si>
  <si>
    <t>Trường Cao đẳng  Y tế</t>
  </si>
  <si>
    <t>3.1.</t>
  </si>
  <si>
    <t xml:space="preserve">- Trung cấp </t>
  </si>
  <si>
    <t>3.2.</t>
  </si>
  <si>
    <t>Trường Cao đẳng Nghề</t>
  </si>
  <si>
    <r>
      <t>4.1</t>
    </r>
    <r>
      <rPr>
        <sz val="9"/>
        <color indexed="8"/>
        <rFont val="Times New Roman"/>
        <family val="1"/>
      </rPr>
      <t>.</t>
    </r>
  </si>
  <si>
    <t>4.2.</t>
  </si>
  <si>
    <t>- Cao đẳng vừa làm vừa học</t>
  </si>
  <si>
    <t>Trường CĐSP Điện Biên</t>
  </si>
  <si>
    <t>Trung cấp và trình độ khác</t>
  </si>
  <si>
    <t xml:space="preserve">             Chia ra:      </t>
  </si>
  <si>
    <t xml:space="preserve">                         Quản lí giáo dục</t>
  </si>
  <si>
    <t xml:space="preserve">      Văn</t>
  </si>
  <si>
    <t xml:space="preserve">           Lịch sử</t>
  </si>
  <si>
    <t xml:space="preserve">      Địa lí</t>
  </si>
  <si>
    <t xml:space="preserve">           Toán học</t>
  </si>
  <si>
    <t xml:space="preserve">      Vật lí</t>
  </si>
  <si>
    <t xml:space="preserve">        Hóa học</t>
  </si>
  <si>
    <t xml:space="preserve">       Sinh học</t>
  </si>
  <si>
    <t xml:space="preserve">             Tâm lý GD</t>
  </si>
  <si>
    <t xml:space="preserve">                     Giáo dục chính trị</t>
  </si>
  <si>
    <t xml:space="preserve">        Triết học</t>
  </si>
  <si>
    <t xml:space="preserve">   Luật</t>
  </si>
  <si>
    <t xml:space="preserve">          Tiếng Anh</t>
  </si>
  <si>
    <t xml:space="preserve">                        Thông tin thư viện</t>
  </si>
  <si>
    <t xml:space="preserve">              Việt Nam học</t>
  </si>
  <si>
    <t xml:space="preserve">                 Công tác xã hội</t>
  </si>
  <si>
    <t xml:space="preserve">             QL văn hóa</t>
  </si>
  <si>
    <t xml:space="preserve">      Tin học</t>
  </si>
  <si>
    <t xml:space="preserve">            Kĩ thuật CN</t>
  </si>
  <si>
    <t xml:space="preserve">              GD Tiểu học</t>
  </si>
  <si>
    <t xml:space="preserve">              GD Mầm non</t>
  </si>
  <si>
    <t xml:space="preserve">           GD Thể chất</t>
  </si>
  <si>
    <t xml:space="preserve">                 GD Quốc phòng</t>
  </si>
  <si>
    <t xml:space="preserve">                  Kiểm định CLGD</t>
  </si>
  <si>
    <t>Trường CĐ Kinh tế - Kỹ thuật</t>
  </si>
  <si>
    <t xml:space="preserve">             Chia ra:       </t>
  </si>
  <si>
    <t xml:space="preserve"> Trường CĐ Y tế</t>
  </si>
  <si>
    <t xml:space="preserve"> - Số giáo viên, giảng viên</t>
  </si>
  <si>
    <t xml:space="preserve">Giáo viên, giảng viên chia theo trình độ đào tạo   </t>
  </si>
  <si>
    <t xml:space="preserve">          Chia ra: </t>
  </si>
  <si>
    <t xml:space="preserve"> - Chuyên ngành Y</t>
  </si>
  <si>
    <t xml:space="preserve"> - Chuyên ngành dược</t>
  </si>
  <si>
    <t xml:space="preserve"> - Chuyên ngành khác (Tin học, Chính trị, Anh văn…)</t>
  </si>
  <si>
    <t>- Nhân viên</t>
  </si>
  <si>
    <t>Chia ra:</t>
  </si>
  <si>
    <t>Trường CĐ Nghề</t>
  </si>
  <si>
    <t xml:space="preserve">Giáo viên, giảng viên chia theo trình độ đào tạo:   </t>
  </si>
  <si>
    <t xml:space="preserve">          Chia ra:        - Lâm nghiệp</t>
  </si>
  <si>
    <t xml:space="preserve">                                - Cơ khí</t>
  </si>
  <si>
    <t xml:space="preserve">                                - Công nghệ thông tin</t>
  </si>
  <si>
    <t xml:space="preserve">                                - Điện</t>
  </si>
  <si>
    <t xml:space="preserve">                                - Xây dựng</t>
  </si>
  <si>
    <t xml:space="preserve">                                - Kế toán doanh nghiệp</t>
  </si>
  <si>
    <t xml:space="preserve">                                - Dạy nghề lái xe</t>
  </si>
  <si>
    <t xml:space="preserve">                                - Tin học - Ngoại ngữ Sơ cấp</t>
  </si>
  <si>
    <t xml:space="preserve">                                - Văn hóa cơ bản</t>
  </si>
  <si>
    <t xml:space="preserve">                                - Môn chung</t>
  </si>
  <si>
    <t>Chia ra:'       - Nhân viên kế toán</t>
  </si>
  <si>
    <t>Trường cao đẳng Sư phạm Điện Biên</t>
  </si>
  <si>
    <t>ha</t>
  </si>
  <si>
    <t>- Diện tích</t>
  </si>
  <si>
    <t>Trường Cao đẳng Y tế</t>
  </si>
  <si>
    <t>Cơ sở nghiên cứu (nhà tiền lâm sàng và
 khu nghiên cứu dược liệu): diện tích</t>
  </si>
  <si>
    <t>- Số xưởng</t>
  </si>
  <si>
    <t>xưởng</t>
  </si>
  <si>
    <t>- Số nhà:</t>
  </si>
  <si>
    <t>Giảng đường/phòng học lý thuyết: Diện tích</t>
  </si>
  <si>
    <t>- Số cơ sở</t>
  </si>
  <si>
    <t>cơ sở</t>
  </si>
  <si>
    <t>Xưởng thực hành, thí nghiệm: diện tích</t>
  </si>
  <si>
    <t>Nhà tập đa năng: diện tích</t>
  </si>
  <si>
    <t>- Số phòng:</t>
  </si>
  <si>
    <t xml:space="preserve">   - Chi đầu tư phát triển</t>
  </si>
  <si>
    <t>TH</t>
  </si>
  <si>
    <t>THCS</t>
  </si>
  <si>
    <t>GDTX</t>
  </si>
  <si>
    <t>CĐ</t>
  </si>
  <si>
    <t xml:space="preserve">                  - Chi đầu tư phát triển</t>
  </si>
  <si>
    <t>TTHTCĐ</t>
  </si>
  <si>
    <t>MN</t>
  </si>
  <si>
    <t>- Chi đầu tư phát triển</t>
  </si>
  <si>
    <t>Tổng   - Chi sự nghiệp</t>
  </si>
  <si>
    <t xml:space="preserve">           - Chi đầu tư phát triển</t>
  </si>
  <si>
    <t>Tổng cộng</t>
  </si>
  <si>
    <t>% đầu tư XD</t>
  </si>
  <si>
    <t>P Học</t>
  </si>
  <si>
    <t>P. bộ môn</t>
  </si>
  <si>
    <t>P. công vụ</t>
  </si>
  <si>
    <t>P.nội trú</t>
  </si>
  <si>
    <t xml:space="preserve">Nhà bếp </t>
  </si>
  <si>
    <t>2026-2030</t>
  </si>
  <si>
    <t>Đa năng</t>
  </si>
  <si>
    <t>QUY MÔ PHÁT TRIỂN CÁC TRUNG TÂM GIAI ĐOẠN 2016-2020, ĐỊNH HƯỚNG ĐẾN 2030</t>
  </si>
  <si>
    <t>1.3</t>
  </si>
  <si>
    <t>1.4</t>
  </si>
  <si>
    <t>2.9</t>
  </si>
  <si>
    <t>2.10</t>
  </si>
  <si>
    <t>2.11</t>
  </si>
  <si>
    <t>2.12</t>
  </si>
  <si>
    <t>3.11</t>
  </si>
  <si>
    <t>3.12</t>
  </si>
  <si>
    <t>5.4</t>
  </si>
  <si>
    <t>5.5</t>
  </si>
  <si>
    <t>5.6</t>
  </si>
  <si>
    <t>5.7</t>
  </si>
  <si>
    <t>Trong đó:  - Số ngăn (ô) WC</t>
  </si>
  <si>
    <t xml:space="preserve"> - Số công trình (nhà) WC kiên cố</t>
  </si>
  <si>
    <t>5.9</t>
  </si>
  <si>
    <t>Công trình nước sinh hoạt</t>
  </si>
  <si>
    <t>Số trung tâm dự kiến đầu tư mới</t>
  </si>
  <si>
    <t>Kinh phí ước tính (1)</t>
  </si>
  <si>
    <t>Số trung tâm dự kiến cải tạo, sửa chữa</t>
  </si>
  <si>
    <t>Kinh phí ước tính (2)</t>
  </si>
  <si>
    <t>Kinh phí ước tính (1+2)</t>
  </si>
  <si>
    <t>Sân chơi</t>
  </si>
  <si>
    <t>sửa theo GĐ</t>
  </si>
  <si>
    <t>Sửa theo GĐ</t>
  </si>
  <si>
    <t>sửa theo tỷ lệ GĐ 60-65-70</t>
  </si>
  <si>
    <t>Trường chuẩn</t>
  </si>
  <si>
    <t>THCS&amp;THPT (cụm xã)</t>
  </si>
  <si>
    <t>Một số cụm xã thuộc huyện Nậm Pồ</t>
  </si>
  <si>
    <t>Người</t>
  </si>
  <si>
    <t>Ghi chú</t>
  </si>
  <si>
    <t>Nội dung</t>
  </si>
  <si>
    <t>I. Nội dung hoạt động</t>
  </si>
  <si>
    <t>Hoạt động truyền thông</t>
  </si>
  <si>
    <t>Bổ sung thiết bị, đồ dùng, đồ chơi, học liệu</t>
  </si>
  <si>
    <t>Thiết bị, đồ dùng, đồ chơi</t>
  </si>
  <si>
    <t>Bộ</t>
  </si>
  <si>
    <t>Học liệu, băng đĩa học TCTV</t>
  </si>
  <si>
    <t>Tài liệu dạy TCTV</t>
  </si>
  <si>
    <t>Cuốn</t>
  </si>
  <si>
    <t>Máy chiếu, máy tính, loa máy tính</t>
  </si>
  <si>
    <t>Hỗ trợ giáo viên làm đồ dùng</t>
  </si>
  <si>
    <t>Tạo môi trường giáo dục trong lớp, ngoài trời</t>
  </si>
  <si>
    <t>Sách, truyện</t>
  </si>
  <si>
    <t>Nâng cao năng lực đội ngũ giáo viên, cán bộ quản lý giáo dục</t>
  </si>
  <si>
    <t>Tập huấn, bồi dưỡng nâng cao năng lực cho CBQL, giáo viên dạy trẻ em là người DTTS (cấp tỉnh)</t>
  </si>
  <si>
    <t>Tổ chức hội thi, giao lưu TCTV</t>
  </si>
  <si>
    <t>Hoạt động quản lý</t>
  </si>
  <si>
    <t>Tổ chức triển khai, tổng kết</t>
  </si>
  <si>
    <t>II. Kinh phí</t>
  </si>
  <si>
    <t>Tổng kinh phí</t>
  </si>
  <si>
    <t>Triệu đồng</t>
  </si>
  <si>
    <t xml:space="preserve"> Tập huấn hướng dẫn giáo viên khai thác sử dụng tài liệu, học liệu, tranh ảnh, băng đĩa về tăng cường tiếng Việt (cấp tỉnh)</t>
  </si>
  <si>
    <t xml:space="preserve">I. Nội dung </t>
  </si>
  <si>
    <t>Hoạt động tuyên truyền</t>
  </si>
  <si>
    <t xml:space="preserve">Mua sách truyện bổ sung cho thư viện trường học </t>
  </si>
  <si>
    <t>Bổ sung máy chiếu, máy tính, loa máy tính</t>
  </si>
  <si>
    <t>Tài liệu dạy tăng cường tiếng Việt cho HSDT</t>
  </si>
  <si>
    <t>Tự làm đồ dùng, đồ chơi, học liệu</t>
  </si>
  <si>
    <t xml:space="preserve">Lớp </t>
  </si>
  <si>
    <t>Nâng cao năng lực đội ngũ giáo viên, cán bộ quản lý</t>
  </si>
  <si>
    <t>Tập huấn, bồi dưỡng nâng cao năng lực cho cán bộ quản lý các đơn vị  về tăng cường tiếng Việt cho học sinh DTTS</t>
  </si>
  <si>
    <t>Bồi dưỡng tiếng Việt cho cha mẹ trẻ em là người DTTS có con đang học lớp 1</t>
  </si>
  <si>
    <t>Nguồn</t>
  </si>
  <si>
    <t>Bổ sung Thiết bị, đồ dùng, đồ chơi, học liệu</t>
  </si>
  <si>
    <t xml:space="preserve">Sách truyện bổ sung cho thư viện trường học </t>
  </si>
  <si>
    <t>Nâng cao năng lực đội ngũ giáo viên cán bộ quản lý giáo dục</t>
  </si>
  <si>
    <t xml:space="preserve"> Hướng dẫn giáo viên khai thác sử dụng tài liệu, học liệu, tranh ảnh, băng đĩa về tăng cường tiếng Việt </t>
  </si>
  <si>
    <t>Bồi dưỡng tiếng Việt cho cha mẹ trẻ em là người DTTS</t>
  </si>
  <si>
    <t xml:space="preserve">Phòng Giáo dục và Đào tạo </t>
  </si>
  <si>
    <t xml:space="preserve">Tổ chức giao lưu TCTV cấp trường </t>
  </si>
  <si>
    <t>Tổng kinh phí TCTV năm 2021</t>
  </si>
  <si>
    <t xml:space="preserve"> Phòng GD&amp;ĐT</t>
  </si>
  <si>
    <t xml:space="preserve">Tập huấn hướng dẫn giáo viên khai thác sử dụng tài liệu, học liệu, tranh ảnh, băng đĩa về tăng cường tiếng Việt </t>
  </si>
  <si>
    <t>Tập huấn hướng dẫn giáo viên khai thác sử dụng tài liệu, học liệu, tranh ảnh, băng đĩa về tăng cường tiếng Việt (cấp tỉnh)</t>
  </si>
  <si>
    <t>Kiểm tra, giám sát ( Phòng Giáo dục và Đào tạo)</t>
  </si>
  <si>
    <t>Phụ lục 01</t>
  </si>
  <si>
    <t>Chia theo xã, phường</t>
  </si>
  <si>
    <t>Mường Thanh</t>
  </si>
  <si>
    <t>Tân Thanh</t>
  </si>
  <si>
    <t>Nam Thanh</t>
  </si>
  <si>
    <t>Thanh Bình</t>
  </si>
  <si>
    <t>Thanh Trường</t>
  </si>
  <si>
    <t>Noong Bua</t>
  </si>
  <si>
    <t>Him Lam</t>
  </si>
  <si>
    <t>Thanh Minh</t>
  </si>
  <si>
    <t>Nà Tấu</t>
  </si>
  <si>
    <t>Nà Nhạn</t>
  </si>
  <si>
    <t>Pá Khoang</t>
  </si>
  <si>
    <t>Mường Phăng</t>
  </si>
  <si>
    <t>HN-  Điện Biên Phủ</t>
  </si>
  <si>
    <t xml:space="preserve"> Bế Văn Đàn</t>
  </si>
  <si>
    <t>Tô Vĩnh Diện</t>
  </si>
  <si>
    <t>Số 1 Nà Nhạn</t>
  </si>
  <si>
    <t>Số 2 Nà Nhạn</t>
  </si>
  <si>
    <t>Số 2 Nà Tấu</t>
  </si>
  <si>
    <t>Tà Cáng</t>
  </si>
  <si>
    <t>Số 1 Pá Khoang</t>
  </si>
  <si>
    <t>Võ Nguyên Giáp</t>
  </si>
  <si>
    <t>Hoàng Văn Nô</t>
  </si>
  <si>
    <t>Herrman</t>
  </si>
  <si>
    <t>Số 2 Pá Khoang</t>
  </si>
  <si>
    <t>Tổ chức giao lưu TCTV cấp trường</t>
  </si>
  <si>
    <t>Kiểm tra, giám sát (Cấp thành phố)</t>
  </si>
  <si>
    <t>N. Bua</t>
  </si>
  <si>
    <t xml:space="preserve">                    Phụ lục 02</t>
  </si>
  <si>
    <t xml:space="preserve">Kiểm tra, giám sát </t>
  </si>
  <si>
    <t>KINH PHÍ THỰC HIỆN KẾ HOẠCH TĂNG CƯỜNG TIẾNG VIỆT CHO HỌC SINH TIỂU HỌC VÙNG DÂN TỘC THIỂU SỐ NĂM 2022</t>
  </si>
  <si>
    <t>(Kèm theo Văn bản số                /PGDĐT-PGDTH  ngày          tháng       năm 2022 của Phòng GD&amp;ĐT )</t>
  </si>
  <si>
    <t xml:space="preserve"> KINH PHÍ THỰC HIỆN KẾ HOẠCH TĂNG CƯỜNG TIẾNG VIỆT CHO TRẺ MẦM NON 
VÙNG DÂN TỘC THIỂU SỐ NĂM 2022</t>
  </si>
  <si>
    <t>(Kèm theo Kế hoạch số                /KH- PGDĐT ngày          tháng       năm 2022 Phòng GD&amp;ĐT )</t>
  </si>
  <si>
    <t>Sở GDĐT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</si>
</sst>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(* #,##0.00_);_(* \(#,##0.00\);_(* &quot;-&quot;??_);_(@_)"/>
    <numFmt numFmtId="164" formatCode="0.0"/>
    <numFmt numFmtId="165" formatCode="0.000"/>
    <numFmt numFmtId="166" formatCode="0.000%"/>
    <numFmt numFmtId="167" formatCode="_(* #,##0_);_(* \(#,##0\);_(* &quot;-&quot;??_);_(@_)"/>
    <numFmt numFmtId="168" formatCode="_(* #,##0.0_);_(* \(#,##0.0\);_(* &quot;-&quot;?_);_(@_)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00.000"/>
    <numFmt numFmtId="174" formatCode="&quot;￥&quot;#,##0;&quot;￥&quot;\-#,##0"/>
    <numFmt numFmtId="175" formatCode="#,##0\ &quot;DM&quot;;\-#,##0\ &quot;DM&quot;"/>
    <numFmt numFmtId="176" formatCode="_(* #,##0.000_);_(* \(#,##0.000\);_(* &quot;-&quot;??_);_(@_)"/>
    <numFmt numFmtId="177" formatCode="_(* #,##0.0_);_(* \(#,##0.0\);_(* &quot;-&quot;??_);_(@_)"/>
    <numFmt numFmtId="178" formatCode="&quot;$&quot;#,##0;[Red]\-&quot;$&quot;#,##0"/>
    <numFmt numFmtId="179" formatCode="\$#&quot;,&quot;##0\ ;\(\$#&quot;,&quot;##0\)"/>
    <numFmt numFmtId="180" formatCode="0.00_)"/>
    <numFmt numFmtId="181" formatCode="#,##0\ &quot;F&quot;;[Red]\-#,##0\ &quot;F&quot;"/>
    <numFmt numFmtId="182" formatCode="#,##0.00\ &quot;F&quot;;\-#,##0.00\ &quot;F&quot;"/>
    <numFmt numFmtId="183" formatCode="#,##0.00\ &quot;F&quot;;[Red]\-#,##0.00\ &quot;F&quot;"/>
    <numFmt numFmtId="184" formatCode="_-* #,##0\ &quot;F&quot;_-;\-* #,##0\ &quot;F&quot;_-;_-* &quot;-&quot;\ &quot;F&quot;_-;_-@_-"/>
    <numFmt numFmtId="185" formatCode="_(* #,##0_);_(* \(#,##0\);_(* &quot;-&quot;?_);_(@_)"/>
    <numFmt numFmtId="186" formatCode="_(* #,##0.000_);_(* \(#,##0.000\);_(* &quot;-&quot;???_);_(@_)"/>
  </numFmts>
  <fonts count="109">
    <font>
      <sz val="12"/>
      <name val=".VnTime"/>
    </font>
    <font>
      <sz val="12"/>
      <name val=".VnTime"/>
    </font>
    <font>
      <b/>
      <sz val="14"/>
      <name val=".VnTimeH"/>
      <family val="2"/>
    </font>
    <font>
      <sz val="8"/>
      <name val=".VnTime"/>
      <family val="2"/>
    </font>
    <font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.VnTimeH"/>
      <family val="2"/>
    </font>
    <font>
      <sz val="10"/>
      <name val=".VnTime"/>
      <family val="2"/>
    </font>
    <font>
      <sz val="10"/>
      <name val="Arial"/>
      <family val="2"/>
    </font>
    <font>
      <sz val="12"/>
      <name val="¹UAAA¼"/>
      <family val="3"/>
      <charset val="129"/>
    </font>
    <font>
      <b/>
      <sz val="12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i/>
      <sz val="16"/>
      <name val="Helv"/>
    </font>
    <font>
      <sz val="13"/>
      <name val=".VnTime"/>
      <family val="2"/>
    </font>
    <font>
      <sz val="14"/>
      <name val="뼻뮝"/>
      <family val="3"/>
    </font>
    <font>
      <sz val="12"/>
      <name val="바탕체"/>
      <family val="3"/>
    </font>
    <font>
      <sz val="12"/>
      <name val="뼻뮝"/>
      <family val="3"/>
    </font>
    <font>
      <sz val="9"/>
      <name val="Arial"/>
      <family val="2"/>
    </font>
    <font>
      <sz val="11"/>
      <name val="돋움"/>
      <family val="3"/>
    </font>
    <font>
      <sz val="10"/>
      <name val="굴림체"/>
      <family val="3"/>
    </font>
    <font>
      <sz val="12"/>
      <name val="Courier"/>
      <family val="3"/>
    </font>
    <font>
      <sz val="10"/>
      <name val=" "/>
      <family val="1"/>
      <charset val="136"/>
    </font>
    <font>
      <sz val="10"/>
      <name val="Arial"/>
      <family val="2"/>
    </font>
    <font>
      <sz val="12"/>
      <name val=".VnTime"/>
      <family val="2"/>
    </font>
    <font>
      <b/>
      <sz val="11"/>
      <name val="Times New Roman"/>
      <family val="1"/>
    </font>
    <font>
      <sz val="11"/>
      <name val=".VnTime"/>
      <family val="2"/>
    </font>
    <font>
      <b/>
      <sz val="11"/>
      <name val=".VnTime"/>
      <family val="2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9"/>
      <name val="Times New Roman"/>
      <family val="1"/>
    </font>
    <font>
      <sz val="8"/>
      <name val="Courier"/>
      <family val="3"/>
    </font>
    <font>
      <b/>
      <sz val="10"/>
      <name val=".VnTime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6"/>
      <name val="Times New Roman"/>
      <family val="1"/>
    </font>
    <font>
      <sz val="8"/>
      <name val="Times New Roman"/>
      <family val="1"/>
    </font>
    <font>
      <b/>
      <sz val="6"/>
      <name val="Times New Roman"/>
      <family val="1"/>
    </font>
    <font>
      <sz val="10"/>
      <name val="Helv"/>
      <family val="2"/>
    </font>
    <font>
      <sz val="9"/>
      <name val="Times New Roman"/>
      <family val="1"/>
    </font>
    <font>
      <sz val="10"/>
      <name val="Arial"/>
      <family val="2"/>
      <charset val="163"/>
    </font>
    <font>
      <b/>
      <sz val="10.5"/>
      <name val="Times New Roman"/>
      <family val="1"/>
    </font>
    <font>
      <sz val="10.5"/>
      <name val="Times New Roman"/>
      <family val="1"/>
    </font>
    <font>
      <sz val="10"/>
      <color indexed="10"/>
      <name val="Times New Roman"/>
      <family val="1"/>
    </font>
    <font>
      <sz val="10.5"/>
      <color indexed="10"/>
      <name val="Times New Roman"/>
      <family val="1"/>
    </font>
    <font>
      <sz val="14"/>
      <color indexed="10"/>
      <name val="Times New Roman"/>
      <family val="1"/>
    </font>
    <font>
      <b/>
      <sz val="14"/>
      <color indexed="10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indexed="18"/>
      <name val="Times New Roman"/>
      <family val="1"/>
    </font>
    <font>
      <sz val="10"/>
      <color indexed="18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sz val="9"/>
      <color indexed="18"/>
      <name val="Times New Roman"/>
      <family val="1"/>
    </font>
    <font>
      <b/>
      <sz val="9"/>
      <color indexed="1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.VnTime"/>
      <family val="2"/>
    </font>
    <font>
      <sz val="9"/>
      <color indexed="8"/>
      <name val=".VnTime"/>
      <family val="2"/>
    </font>
    <font>
      <sz val="10"/>
      <color indexed="18"/>
      <name val=".VnTime"/>
      <family val="2"/>
    </font>
    <font>
      <i/>
      <sz val="9"/>
      <color indexed="8"/>
      <name val="Times New Roman"/>
      <family val="1"/>
    </font>
    <font>
      <sz val="10"/>
      <color indexed="8"/>
      <name val=".VnTime"/>
      <family val="2"/>
    </font>
    <font>
      <b/>
      <sz val="9"/>
      <color indexed="8"/>
      <name val=".VnTime"/>
      <family val="2"/>
    </font>
    <font>
      <i/>
      <sz val="9"/>
      <color indexed="8"/>
      <name val=".VnTime"/>
      <family val="2"/>
    </font>
    <font>
      <sz val="12"/>
      <color indexed="18"/>
      <name val="Times New Roman"/>
      <family val="1"/>
    </font>
    <font>
      <sz val="11"/>
      <color indexed="8"/>
      <name val="Arial"/>
      <family val="2"/>
    </font>
    <font>
      <sz val="10"/>
      <color indexed="18"/>
      <name val=".VnTime"/>
      <family val="2"/>
    </font>
    <font>
      <b/>
      <sz val="10"/>
      <color indexed="18"/>
      <name val=".VnTime"/>
      <family val="2"/>
    </font>
    <font>
      <b/>
      <sz val="9"/>
      <color indexed="8"/>
      <name val=".VnTime"/>
      <family val="2"/>
    </font>
    <font>
      <b/>
      <sz val="8"/>
      <color indexed="8"/>
      <name val=".VnTime"/>
      <family val="2"/>
    </font>
    <font>
      <sz val="9"/>
      <color indexed="18"/>
      <name val=".VnTime"/>
      <family val="2"/>
    </font>
    <font>
      <b/>
      <sz val="9"/>
      <color indexed="10"/>
      <name val="Times New Roman"/>
      <family val="1"/>
    </font>
    <font>
      <sz val="9"/>
      <color indexed="10"/>
      <name val="Times New Roman"/>
      <family val="1"/>
    </font>
    <font>
      <sz val="8"/>
      <color indexed="10"/>
      <name val="Times New Roman"/>
      <family val="1"/>
    </font>
    <font>
      <b/>
      <sz val="9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0"/>
      <color indexed="10"/>
      <name val=".VnTime"/>
      <family val="2"/>
    </font>
    <font>
      <sz val="11"/>
      <color indexed="10"/>
      <name val="Times New Roman"/>
      <family val="1"/>
    </font>
    <font>
      <sz val="12"/>
      <color indexed="8"/>
      <name val="Times New Roman"/>
      <family val="2"/>
    </font>
    <font>
      <sz val="12"/>
      <color indexed="9"/>
      <name val="Times New Roman"/>
      <family val="2"/>
    </font>
    <font>
      <sz val="12"/>
      <color indexed="20"/>
      <name val="Times New Roman"/>
      <family val="2"/>
    </font>
    <font>
      <b/>
      <sz val="12"/>
      <color indexed="52"/>
      <name val="Times New Roman"/>
      <family val="2"/>
    </font>
    <font>
      <b/>
      <sz val="12"/>
      <color indexed="9"/>
      <name val="Times New Roman"/>
      <family val="2"/>
    </font>
    <font>
      <i/>
      <sz val="12"/>
      <color indexed="23"/>
      <name val="Times New Roman"/>
      <family val="2"/>
    </font>
    <font>
      <sz val="12"/>
      <color indexed="17"/>
      <name val="Times New Roman"/>
      <family val="2"/>
    </font>
    <font>
      <b/>
      <sz val="11"/>
      <color indexed="56"/>
      <name val="Times New Roman"/>
      <family val="2"/>
    </font>
    <font>
      <sz val="12"/>
      <color indexed="62"/>
      <name val="Times New Roman"/>
      <family val="2"/>
    </font>
    <font>
      <sz val="12"/>
      <color indexed="52"/>
      <name val="Times New Roman"/>
      <family val="2"/>
    </font>
    <font>
      <sz val="12"/>
      <color indexed="60"/>
      <name val="Times New Roman"/>
      <family val="2"/>
    </font>
    <font>
      <b/>
      <sz val="12"/>
      <color indexed="63"/>
      <name val="Times New Roman"/>
      <family val="2"/>
    </font>
    <font>
      <b/>
      <sz val="18"/>
      <color indexed="56"/>
      <name val="Cambria"/>
      <family val="2"/>
    </font>
    <font>
      <sz val="12"/>
      <color indexed="10"/>
      <name val="Times New Roman"/>
      <family val="2"/>
    </font>
    <font>
      <sz val="12"/>
      <name val="Times New Roman"/>
      <family val="1"/>
      <charset val="163"/>
    </font>
    <font>
      <b/>
      <i/>
      <sz val="12"/>
      <name val="Times New Roman"/>
      <family val="1"/>
    </font>
    <font>
      <i/>
      <sz val="13"/>
      <name val="Times New Roman"/>
      <family val="1"/>
    </font>
    <font>
      <b/>
      <i/>
      <sz val="13"/>
      <name val="Times New Roman"/>
      <family val="1"/>
    </font>
    <font>
      <sz val="12"/>
      <color theme="0"/>
      <name val=".VnTime"/>
      <family val="2"/>
    </font>
    <font>
      <b/>
      <sz val="12"/>
      <color rgb="FFFF0000"/>
      <name val="Times New Roman"/>
      <family val="1"/>
    </font>
    <font>
      <sz val="12"/>
      <name val=".VnTime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5">
    <xf numFmtId="0" fontId="0" fillId="0" borderId="0"/>
    <xf numFmtId="0" fontId="88" fillId="2" borderId="0" applyNumberFormat="0" applyBorder="0" applyAlignment="0" applyProtection="0"/>
    <xf numFmtId="0" fontId="88" fillId="3" borderId="0" applyNumberFormat="0" applyBorder="0" applyAlignment="0" applyProtection="0"/>
    <xf numFmtId="0" fontId="88" fillId="4" borderId="0" applyNumberFormat="0" applyBorder="0" applyAlignment="0" applyProtection="0"/>
    <xf numFmtId="0" fontId="88" fillId="5" borderId="0" applyNumberFormat="0" applyBorder="0" applyAlignment="0" applyProtection="0"/>
    <xf numFmtId="0" fontId="88" fillId="6" borderId="0" applyNumberFormat="0" applyBorder="0" applyAlignment="0" applyProtection="0"/>
    <xf numFmtId="0" fontId="88" fillId="7" borderId="0" applyNumberFormat="0" applyBorder="0" applyAlignment="0" applyProtection="0"/>
    <xf numFmtId="0" fontId="88" fillId="8" borderId="0" applyNumberFormat="0" applyBorder="0" applyAlignment="0" applyProtection="0"/>
    <xf numFmtId="0" fontId="88" fillId="9" borderId="0" applyNumberFormat="0" applyBorder="0" applyAlignment="0" applyProtection="0"/>
    <xf numFmtId="0" fontId="88" fillId="10" borderId="0" applyNumberFormat="0" applyBorder="0" applyAlignment="0" applyProtection="0"/>
    <xf numFmtId="0" fontId="88" fillId="5" borderId="0" applyNumberFormat="0" applyBorder="0" applyAlignment="0" applyProtection="0"/>
    <xf numFmtId="0" fontId="88" fillId="8" borderId="0" applyNumberFormat="0" applyBorder="0" applyAlignment="0" applyProtection="0"/>
    <xf numFmtId="0" fontId="88" fillId="11" borderId="0" applyNumberFormat="0" applyBorder="0" applyAlignment="0" applyProtection="0"/>
    <xf numFmtId="0" fontId="89" fillId="12" borderId="0" applyNumberFormat="0" applyBorder="0" applyAlignment="0" applyProtection="0"/>
    <xf numFmtId="0" fontId="89" fillId="9" borderId="0" applyNumberFormat="0" applyBorder="0" applyAlignment="0" applyProtection="0"/>
    <xf numFmtId="0" fontId="89" fillId="10" borderId="0" applyNumberFormat="0" applyBorder="0" applyAlignment="0" applyProtection="0"/>
    <xf numFmtId="0" fontId="89" fillId="13" borderId="0" applyNumberFormat="0" applyBorder="0" applyAlignment="0" applyProtection="0"/>
    <xf numFmtId="0" fontId="89" fillId="14" borderId="0" applyNumberFormat="0" applyBorder="0" applyAlignment="0" applyProtection="0"/>
    <xf numFmtId="0" fontId="89" fillId="15" borderId="0" applyNumberFormat="0" applyBorder="0" applyAlignment="0" applyProtection="0"/>
    <xf numFmtId="0" fontId="89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18" borderId="0" applyNumberFormat="0" applyBorder="0" applyAlignment="0" applyProtection="0"/>
    <xf numFmtId="0" fontId="89" fillId="13" borderId="0" applyNumberFormat="0" applyBorder="0" applyAlignment="0" applyProtection="0"/>
    <xf numFmtId="0" fontId="89" fillId="14" borderId="0" applyNumberFormat="0" applyBorder="0" applyAlignment="0" applyProtection="0"/>
    <xf numFmtId="0" fontId="89" fillId="19" borderId="0" applyNumberFormat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90" fillId="3" borderId="0" applyNumberFormat="0" applyBorder="0" applyAlignment="0" applyProtection="0"/>
    <xf numFmtId="0" fontId="11" fillId="0" borderId="0"/>
    <xf numFmtId="0" fontId="11" fillId="0" borderId="0"/>
    <xf numFmtId="0" fontId="91" fillId="20" borderId="1" applyNumberFormat="0" applyAlignment="0" applyProtection="0"/>
    <xf numFmtId="0" fontId="92" fillId="21" borderId="2" applyNumberFormat="0" applyAlignment="0" applyProtection="0"/>
    <xf numFmtId="43" fontId="1" fillId="0" borderId="0" applyFont="0" applyFill="0" applyBorder="0" applyAlignment="0" applyProtection="0"/>
    <xf numFmtId="43" fontId="102" fillId="0" borderId="0" applyFont="0" applyFill="0" applyBorder="0" applyAlignment="0" applyProtection="0"/>
    <xf numFmtId="3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3" fillId="0" borderId="0" applyNumberFormat="0" applyFill="0" applyBorder="0" applyAlignment="0" applyProtection="0"/>
    <xf numFmtId="2" fontId="10" fillId="0" borderId="0" applyFont="0" applyFill="0" applyBorder="0" applyAlignment="0" applyProtection="0"/>
    <xf numFmtId="0" fontId="94" fillId="4" borderId="0" applyNumberFormat="0" applyBorder="0" applyAlignment="0" applyProtection="0"/>
    <xf numFmtId="0" fontId="12" fillId="0" borderId="3" applyNumberFormat="0" applyAlignment="0" applyProtection="0">
      <alignment horizontal="left" vertical="center"/>
    </xf>
    <xf numFmtId="0" fontId="12" fillId="0" borderId="4">
      <alignment horizontal="left" vertical="center"/>
    </xf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95" fillId="0" borderId="5" applyNumberFormat="0" applyFill="0" applyAlignment="0" applyProtection="0"/>
    <xf numFmtId="0" fontId="95" fillId="0" borderId="0" applyNumberFormat="0" applyFill="0" applyBorder="0" applyAlignment="0" applyProtection="0"/>
    <xf numFmtId="0" fontId="96" fillId="7" borderId="1" applyNumberFormat="0" applyAlignment="0" applyProtection="0"/>
    <xf numFmtId="0" fontId="97" fillId="0" borderId="6" applyNumberFormat="0" applyFill="0" applyAlignment="0" applyProtection="0"/>
    <xf numFmtId="0" fontId="14" fillId="0" borderId="0" applyNumberFormat="0" applyFont="0" applyFill="0" applyAlignment="0"/>
    <xf numFmtId="0" fontId="98" fillId="22" borderId="0" applyNumberFormat="0" applyBorder="0" applyAlignment="0" applyProtection="0"/>
    <xf numFmtId="180" fontId="15" fillId="0" borderId="0"/>
    <xf numFmtId="0" fontId="102" fillId="0" borderId="0"/>
    <xf numFmtId="0" fontId="74" fillId="0" borderId="0"/>
    <xf numFmtId="0" fontId="25" fillId="0" borderId="0"/>
    <xf numFmtId="0" fontId="34" fillId="0" borderId="0" applyAlignment="0">
      <alignment vertical="center"/>
    </xf>
    <xf numFmtId="0" fontId="48" fillId="0" borderId="0"/>
    <xf numFmtId="0" fontId="46" fillId="0" borderId="0"/>
    <xf numFmtId="0" fontId="46" fillId="0" borderId="0"/>
    <xf numFmtId="0" fontId="46" fillId="0" borderId="0"/>
    <xf numFmtId="0" fontId="39" fillId="0" borderId="0"/>
    <xf numFmtId="0" fontId="46" fillId="0" borderId="0"/>
    <xf numFmtId="0" fontId="39" fillId="23" borderId="7" applyNumberFormat="0" applyFont="0" applyAlignment="0" applyProtection="0"/>
    <xf numFmtId="0" fontId="99" fillId="20" borderId="8" applyNumberFormat="0" applyAlignment="0" applyProtection="0"/>
    <xf numFmtId="9" fontId="1" fillId="0" borderId="0" applyFont="0" applyFill="0" applyBorder="0" applyAlignment="0" applyProtection="0"/>
    <xf numFmtId="0" fontId="46" fillId="0" borderId="0"/>
    <xf numFmtId="183" fontId="16" fillId="0" borderId="9">
      <alignment horizontal="right" vertical="center"/>
    </xf>
    <xf numFmtId="184" fontId="16" fillId="0" borderId="9">
      <alignment horizontal="center"/>
    </xf>
    <xf numFmtId="0" fontId="100" fillId="0" borderId="0" applyNumberFormat="0" applyFill="0" applyBorder="0" applyAlignment="0" applyProtection="0"/>
    <xf numFmtId="0" fontId="10" fillId="0" borderId="10" applyNumberFormat="0" applyFont="0" applyFill="0" applyAlignment="0" applyProtection="0"/>
    <xf numFmtId="181" fontId="16" fillId="0" borderId="0"/>
    <xf numFmtId="182" fontId="16" fillId="0" borderId="11"/>
    <xf numFmtId="0" fontId="101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4" fillId="0" borderId="0">
      <alignment vertical="center"/>
    </xf>
    <xf numFmtId="40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/>
    <xf numFmtId="17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22" fillId="0" borderId="0"/>
    <xf numFmtId="0" fontId="14" fillId="0" borderId="0"/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8" fontId="23" fillId="0" borderId="0" applyFont="0" applyFill="0" applyBorder="0" applyAlignment="0" applyProtection="0"/>
    <xf numFmtId="172" fontId="20" fillId="0" borderId="0" applyFont="0" applyFill="0" applyBorder="0" applyAlignment="0" applyProtection="0"/>
    <xf numFmtId="43" fontId="108" fillId="0" borderId="0" applyFont="0" applyFill="0" applyBorder="0" applyAlignment="0" applyProtection="0"/>
  </cellStyleXfs>
  <cellXfs count="819">
    <xf numFmtId="0" fontId="0" fillId="0" borderId="0" xfId="0"/>
    <xf numFmtId="0" fontId="2" fillId="0" borderId="0" xfId="0" applyFont="1"/>
    <xf numFmtId="0" fontId="4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5" xfId="0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/>
    <xf numFmtId="0" fontId="4" fillId="0" borderId="16" xfId="0" applyFont="1" applyBorder="1" applyAlignment="1">
      <alignment horizontal="center"/>
    </xf>
    <xf numFmtId="0" fontId="4" fillId="0" borderId="16" xfId="0" applyFont="1" applyBorder="1" applyAlignment="1">
      <alignment horizontal="left" indent="6"/>
    </xf>
    <xf numFmtId="0" fontId="5" fillId="0" borderId="16" xfId="0" applyFont="1" applyBorder="1"/>
    <xf numFmtId="1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0" fontId="4" fillId="0" borderId="16" xfId="0" applyFont="1" applyBorder="1" applyAlignment="1">
      <alignment horizontal="left" indent="3"/>
    </xf>
    <xf numFmtId="164" fontId="4" fillId="0" borderId="16" xfId="0" applyNumberFormat="1" applyFont="1" applyBorder="1" applyAlignment="1">
      <alignment horizontal="center"/>
    </xf>
    <xf numFmtId="0" fontId="4" fillId="0" borderId="17" xfId="0" applyFont="1" applyBorder="1" applyAlignment="1">
      <alignment horizontal="left" indent="3"/>
    </xf>
    <xf numFmtId="0" fontId="4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1" fontId="7" fillId="0" borderId="19" xfId="0" applyNumberFormat="1" applyFont="1" applyBorder="1" applyAlignment="1">
      <alignment vertical="center" wrapText="1"/>
    </xf>
    <xf numFmtId="1" fontId="7" fillId="0" borderId="20" xfId="0" applyNumberFormat="1" applyFont="1" applyBorder="1" applyAlignment="1">
      <alignment vertical="center" wrapText="1"/>
    </xf>
    <xf numFmtId="1" fontId="7" fillId="0" borderId="21" xfId="0" applyNumberFormat="1" applyFont="1" applyBorder="1" applyAlignment="1">
      <alignment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164" fontId="7" fillId="0" borderId="23" xfId="0" applyNumberFormat="1" applyFont="1" applyBorder="1" applyAlignment="1">
      <alignment horizontal="center"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 wrapText="1"/>
    </xf>
    <xf numFmtId="164" fontId="7" fillId="0" borderId="26" xfId="0" applyNumberFormat="1" applyFont="1" applyBorder="1" applyAlignment="1">
      <alignment horizontal="center" vertical="center" wrapText="1"/>
    </xf>
    <xf numFmtId="0" fontId="7" fillId="24" borderId="16" xfId="0" applyFont="1" applyFill="1" applyBorder="1" applyAlignment="1">
      <alignment horizontal="right"/>
    </xf>
    <xf numFmtId="0" fontId="9" fillId="24" borderId="0" xfId="0" applyFont="1" applyFill="1"/>
    <xf numFmtId="0" fontId="7" fillId="24" borderId="12" xfId="0" applyFont="1" applyFill="1" applyBorder="1" applyAlignment="1">
      <alignment horizontal="center"/>
    </xf>
    <xf numFmtId="0" fontId="5" fillId="24" borderId="13" xfId="0" applyFont="1" applyFill="1" applyBorder="1" applyAlignment="1">
      <alignment horizontal="center"/>
    </xf>
    <xf numFmtId="0" fontId="5" fillId="24" borderId="15" xfId="0" applyFont="1" applyFill="1" applyBorder="1"/>
    <xf numFmtId="0" fontId="5" fillId="24" borderId="15" xfId="0" applyFont="1" applyFill="1" applyBorder="1" applyAlignment="1">
      <alignment horizontal="right"/>
    </xf>
    <xf numFmtId="0" fontId="7" fillId="24" borderId="15" xfId="0" applyFont="1" applyFill="1" applyBorder="1" applyAlignment="1">
      <alignment horizontal="right"/>
    </xf>
    <xf numFmtId="0" fontId="5" fillId="24" borderId="14" xfId="0" applyFont="1" applyFill="1" applyBorder="1" applyAlignment="1">
      <alignment horizontal="center"/>
    </xf>
    <xf numFmtId="0" fontId="7" fillId="24" borderId="16" xfId="0" applyFont="1" applyFill="1" applyBorder="1"/>
    <xf numFmtId="0" fontId="7" fillId="24" borderId="16" xfId="0" applyFont="1" applyFill="1" applyBorder="1" applyAlignment="1">
      <alignment horizontal="left" indent="6"/>
    </xf>
    <xf numFmtId="0" fontId="5" fillId="24" borderId="18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6" xfId="0" applyFont="1" applyFill="1" applyBorder="1" applyAlignment="1">
      <alignment horizontal="right"/>
    </xf>
    <xf numFmtId="1" fontId="5" fillId="24" borderId="16" xfId="0" applyNumberFormat="1" applyFont="1" applyFill="1" applyBorder="1" applyAlignment="1">
      <alignment horizontal="right"/>
    </xf>
    <xf numFmtId="1" fontId="7" fillId="24" borderId="16" xfId="0" applyNumberFormat="1" applyFont="1" applyFill="1" applyBorder="1" applyAlignment="1">
      <alignment horizontal="right"/>
    </xf>
    <xf numFmtId="0" fontId="7" fillId="24" borderId="16" xfId="0" applyFont="1" applyFill="1" applyBorder="1" applyAlignment="1">
      <alignment horizontal="left" indent="3"/>
    </xf>
    <xf numFmtId="164" fontId="7" fillId="24" borderId="16" xfId="0" applyNumberFormat="1" applyFont="1" applyFill="1" applyBorder="1" applyAlignment="1">
      <alignment horizontal="right"/>
    </xf>
    <xf numFmtId="2" fontId="7" fillId="24" borderId="16" xfId="0" applyNumberFormat="1" applyFont="1" applyFill="1" applyBorder="1" applyAlignment="1">
      <alignment horizontal="right"/>
    </xf>
    <xf numFmtId="164" fontId="7" fillId="24" borderId="18" xfId="0" applyNumberFormat="1" applyFont="1" applyFill="1" applyBorder="1" applyAlignment="1">
      <alignment horizontal="right"/>
    </xf>
    <xf numFmtId="0" fontId="5" fillId="24" borderId="12" xfId="0" applyFont="1" applyFill="1" applyBorder="1" applyAlignment="1">
      <alignment horizontal="center"/>
    </xf>
    <xf numFmtId="0" fontId="7" fillId="24" borderId="17" xfId="0" applyFont="1" applyFill="1" applyBorder="1" applyAlignment="1">
      <alignment horizontal="left" indent="3"/>
    </xf>
    <xf numFmtId="164" fontId="7" fillId="24" borderId="17" xfId="0" applyNumberFormat="1" applyFont="1" applyFill="1" applyBorder="1" applyAlignment="1">
      <alignment horizontal="right"/>
    </xf>
    <xf numFmtId="164" fontId="9" fillId="24" borderId="0" xfId="0" applyNumberFormat="1" applyFont="1" applyFill="1"/>
    <xf numFmtId="1" fontId="9" fillId="24" borderId="0" xfId="0" applyNumberFormat="1" applyFont="1" applyFill="1" applyAlignment="1">
      <alignment horizontal="right"/>
    </xf>
    <xf numFmtId="0" fontId="9" fillId="24" borderId="0" xfId="0" applyFont="1" applyFill="1" applyAlignment="1">
      <alignment horizontal="right"/>
    </xf>
    <xf numFmtId="0" fontId="26" fillId="24" borderId="0" xfId="0" applyFont="1" applyFill="1"/>
    <xf numFmtId="0" fontId="6" fillId="24" borderId="0" xfId="0" applyFont="1" applyFill="1" applyBorder="1" applyAlignment="1">
      <alignment horizontal="center"/>
    </xf>
    <xf numFmtId="0" fontId="27" fillId="24" borderId="13" xfId="0" applyFont="1" applyFill="1" applyBorder="1" applyAlignment="1">
      <alignment horizontal="center" vertical="center" wrapText="1"/>
    </xf>
    <xf numFmtId="0" fontId="27" fillId="24" borderId="27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8" fillId="24" borderId="0" xfId="0" applyFont="1" applyFill="1"/>
    <xf numFmtId="0" fontId="27" fillId="24" borderId="15" xfId="0" applyFont="1" applyFill="1" applyBorder="1" applyAlignment="1">
      <alignment horizontal="center"/>
    </xf>
    <xf numFmtId="0" fontId="27" fillId="24" borderId="15" xfId="0" applyFont="1" applyFill="1" applyBorder="1"/>
    <xf numFmtId="167" fontId="27" fillId="24" borderId="15" xfId="34" applyNumberFormat="1" applyFont="1" applyFill="1" applyBorder="1"/>
    <xf numFmtId="0" fontId="29" fillId="24" borderId="0" xfId="0" applyFont="1" applyFill="1"/>
    <xf numFmtId="0" fontId="27" fillId="24" borderId="16" xfId="0" applyFont="1" applyFill="1" applyBorder="1" applyAlignment="1">
      <alignment horizontal="center"/>
    </xf>
    <xf numFmtId="0" fontId="30" fillId="24" borderId="16" xfId="0" applyFont="1" applyFill="1" applyBorder="1" applyAlignment="1"/>
    <xf numFmtId="167" fontId="30" fillId="24" borderId="16" xfId="34" applyNumberFormat="1" applyFont="1" applyFill="1" applyBorder="1"/>
    <xf numFmtId="0" fontId="27" fillId="24" borderId="16" xfId="0" applyFont="1" applyFill="1" applyBorder="1" applyAlignment="1"/>
    <xf numFmtId="167" fontId="31" fillId="24" borderId="16" xfId="34" applyNumberFormat="1" applyFont="1" applyFill="1" applyBorder="1"/>
    <xf numFmtId="167" fontId="27" fillId="24" borderId="16" xfId="34" applyNumberFormat="1" applyFont="1" applyFill="1" applyBorder="1"/>
    <xf numFmtId="167" fontId="32" fillId="24" borderId="16" xfId="34" applyNumberFormat="1" applyFont="1" applyFill="1" applyBorder="1"/>
    <xf numFmtId="177" fontId="32" fillId="24" borderId="16" xfId="34" applyNumberFormat="1" applyFont="1" applyFill="1" applyBorder="1"/>
    <xf numFmtId="43" fontId="30" fillId="24" borderId="16" xfId="34" applyFont="1" applyFill="1" applyBorder="1"/>
    <xf numFmtId="168" fontId="28" fillId="24" borderId="0" xfId="0" applyNumberFormat="1" applyFont="1" applyFill="1"/>
    <xf numFmtId="0" fontId="27" fillId="24" borderId="16" xfId="0" applyFont="1" applyFill="1" applyBorder="1" applyAlignment="1">
      <alignment horizontal="left"/>
    </xf>
    <xf numFmtId="0" fontId="30" fillId="24" borderId="16" xfId="0" applyFont="1" applyFill="1" applyBorder="1" applyAlignment="1">
      <alignment horizontal="left"/>
    </xf>
    <xf numFmtId="0" fontId="27" fillId="24" borderId="17" xfId="0" applyFont="1" applyFill="1" applyBorder="1" applyAlignment="1">
      <alignment horizontal="center"/>
    </xf>
    <xf numFmtId="0" fontId="30" fillId="24" borderId="17" xfId="0" applyFont="1" applyFill="1" applyBorder="1" applyAlignment="1">
      <alignment horizontal="left" indent="4"/>
    </xf>
    <xf numFmtId="167" fontId="30" fillId="24" borderId="17" xfId="34" applyNumberFormat="1" applyFont="1" applyFill="1" applyBorder="1"/>
    <xf numFmtId="1" fontId="30" fillId="24" borderId="17" xfId="65" applyNumberFormat="1" applyFont="1" applyFill="1" applyBorder="1"/>
    <xf numFmtId="0" fontId="33" fillId="24" borderId="0" xfId="0" applyFont="1" applyFill="1"/>
    <xf numFmtId="185" fontId="33" fillId="24" borderId="0" xfId="0" applyNumberFormat="1" applyFont="1" applyFill="1"/>
    <xf numFmtId="0" fontId="30" fillId="24" borderId="16" xfId="0" quotePrefix="1" applyFont="1" applyFill="1" applyBorder="1" applyAlignment="1">
      <alignment horizontal="left" indent="3"/>
    </xf>
    <xf numFmtId="0" fontId="30" fillId="24" borderId="16" xfId="0" applyFont="1" applyFill="1" applyBorder="1" applyAlignment="1">
      <alignment horizontal="left" indent="5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167" fontId="7" fillId="0" borderId="0" xfId="34" applyNumberFormat="1" applyFont="1" applyFill="1" applyProtection="1">
      <protection locked="0"/>
    </xf>
    <xf numFmtId="167" fontId="7" fillId="0" borderId="11" xfId="34" applyNumberFormat="1" applyFont="1" applyFill="1" applyBorder="1" applyProtection="1">
      <protection locked="0"/>
    </xf>
    <xf numFmtId="167" fontId="7" fillId="0" borderId="11" xfId="34" applyNumberFormat="1" applyFont="1" applyFill="1" applyBorder="1" applyProtection="1">
      <protection hidden="1"/>
    </xf>
    <xf numFmtId="177" fontId="7" fillId="0" borderId="11" xfId="34" applyNumberFormat="1" applyFont="1" applyFill="1" applyBorder="1" applyProtection="1">
      <protection hidden="1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Fill="1" applyBorder="1" applyAlignment="1" applyProtection="1">
      <alignment horizontal="center" vertical="center" wrapText="1"/>
      <protection locked="0"/>
    </xf>
    <xf numFmtId="167" fontId="9" fillId="0" borderId="0" xfId="0" applyNumberFormat="1" applyFont="1" applyFill="1" applyProtection="1">
      <protection locked="0"/>
    </xf>
    <xf numFmtId="0" fontId="7" fillId="0" borderId="11" xfId="56" applyFont="1" applyFill="1" applyBorder="1" applyAlignment="1" applyProtection="1">
      <alignment vertical="center" wrapText="1" shrinkToFit="1"/>
      <protection locked="0"/>
    </xf>
    <xf numFmtId="0" fontId="5" fillId="0" borderId="11" xfId="56" applyFont="1" applyFill="1" applyBorder="1" applyAlignment="1" applyProtection="1">
      <alignment vertical="center" wrapText="1" shrinkToFit="1"/>
      <protection locked="0"/>
    </xf>
    <xf numFmtId="0" fontId="5" fillId="0" borderId="11" xfId="56" applyFont="1" applyFill="1" applyBorder="1" applyAlignment="1" applyProtection="1">
      <alignment horizontal="center" vertical="center" wrapText="1" shrinkToFit="1"/>
      <protection locked="0"/>
    </xf>
    <xf numFmtId="0" fontId="7" fillId="0" borderId="11" xfId="56" applyFont="1" applyFill="1" applyBorder="1" applyAlignment="1" applyProtection="1">
      <alignment horizontal="center" vertical="center" wrapText="1" shrinkToFit="1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7" fillId="0" borderId="0" xfId="61" applyFont="1" applyFill="1"/>
    <xf numFmtId="0" fontId="7" fillId="0" borderId="0" xfId="61" applyFont="1" applyFill="1" applyAlignment="1">
      <alignment horizontal="center"/>
    </xf>
    <xf numFmtId="0" fontId="5" fillId="0" borderId="11" xfId="61" applyFont="1" applyFill="1" applyBorder="1" applyAlignment="1" applyProtection="1">
      <alignment horizontal="center" vertical="center" wrapText="1"/>
      <protection locked="0"/>
    </xf>
    <xf numFmtId="0" fontId="7" fillId="0" borderId="11" xfId="61" applyFont="1" applyFill="1" applyBorder="1" applyAlignment="1" applyProtection="1">
      <alignment horizontal="left" vertical="center" wrapText="1"/>
      <protection locked="0"/>
    </xf>
    <xf numFmtId="0" fontId="7" fillId="0" borderId="11" xfId="61" applyFont="1" applyFill="1" applyBorder="1" applyAlignment="1" applyProtection="1">
      <alignment horizontal="center" vertical="center" wrapText="1"/>
      <protection locked="0"/>
    </xf>
    <xf numFmtId="167" fontId="7" fillId="0" borderId="0" xfId="61" applyNumberFormat="1" applyFont="1" applyFill="1"/>
    <xf numFmtId="0" fontId="7" fillId="0" borderId="0" xfId="61" applyFont="1" applyFill="1" applyProtection="1">
      <protection locked="0"/>
    </xf>
    <xf numFmtId="167" fontId="7" fillId="0" borderId="0" xfId="34" applyNumberFormat="1" applyFont="1" applyFill="1"/>
    <xf numFmtId="0" fontId="5" fillId="0" borderId="11" xfId="61" applyFont="1" applyFill="1" applyBorder="1" applyAlignment="1" applyProtection="1">
      <alignment horizontal="center" vertical="center"/>
      <protection locked="0"/>
    </xf>
    <xf numFmtId="0" fontId="7" fillId="0" borderId="0" xfId="61" applyFont="1" applyFill="1" applyBorder="1" applyAlignment="1">
      <alignment horizontal="left" vertical="center"/>
    </xf>
    <xf numFmtId="0" fontId="5" fillId="0" borderId="11" xfId="61" applyFont="1" applyFill="1" applyBorder="1" applyAlignment="1" applyProtection="1">
      <alignment vertical="center"/>
      <protection locked="0"/>
    </xf>
    <xf numFmtId="167" fontId="5" fillId="0" borderId="11" xfId="34" applyNumberFormat="1" applyFont="1" applyFill="1" applyBorder="1" applyAlignment="1" applyProtection="1">
      <alignment horizontal="center" vertical="center"/>
      <protection locked="0"/>
    </xf>
    <xf numFmtId="167" fontId="5" fillId="0" borderId="0" xfId="61" applyNumberFormat="1" applyFont="1" applyFill="1" applyAlignment="1">
      <alignment vertical="center"/>
    </xf>
    <xf numFmtId="0" fontId="5" fillId="0" borderId="0" xfId="61" applyFont="1" applyFill="1" applyAlignment="1">
      <alignment vertical="center"/>
    </xf>
    <xf numFmtId="0" fontId="7" fillId="0" borderId="11" xfId="61" applyFont="1" applyFill="1" applyBorder="1" applyAlignment="1" applyProtection="1">
      <alignment vertical="center"/>
      <protection locked="0"/>
    </xf>
    <xf numFmtId="0" fontId="7" fillId="0" borderId="11" xfId="61" applyFont="1" applyFill="1" applyBorder="1" applyAlignment="1" applyProtection="1">
      <alignment horizontal="center" vertical="center"/>
      <protection locked="0"/>
    </xf>
    <xf numFmtId="167" fontId="7" fillId="0" borderId="11" xfId="34" applyNumberFormat="1" applyFont="1" applyFill="1" applyBorder="1" applyAlignment="1" applyProtection="1">
      <alignment horizontal="center" vertical="center"/>
      <protection locked="0"/>
    </xf>
    <xf numFmtId="0" fontId="7" fillId="0" borderId="0" xfId="61" applyFont="1" applyFill="1" applyAlignment="1">
      <alignment vertical="center"/>
    </xf>
    <xf numFmtId="0" fontId="5" fillId="0" borderId="0" xfId="60" applyFont="1" applyFill="1" applyBorder="1" applyAlignment="1" applyProtection="1">
      <alignment horizontal="center" vertical="center"/>
      <protection locked="0"/>
    </xf>
    <xf numFmtId="0" fontId="5" fillId="0" borderId="11" xfId="60" applyFont="1" applyFill="1" applyBorder="1" applyAlignment="1" applyProtection="1">
      <alignment horizontal="center" vertical="center" wrapText="1"/>
      <protection locked="0"/>
    </xf>
    <xf numFmtId="167" fontId="7" fillId="0" borderId="11" xfId="34" applyNumberFormat="1" applyFont="1" applyFill="1" applyBorder="1" applyAlignment="1" applyProtection="1">
      <alignment vertical="center"/>
      <protection locked="0"/>
    </xf>
    <xf numFmtId="0" fontId="5" fillId="0" borderId="11" xfId="61" applyFont="1" applyFill="1" applyBorder="1" applyAlignment="1" applyProtection="1">
      <alignment horizontal="left" vertical="center"/>
      <protection locked="0"/>
    </xf>
    <xf numFmtId="167" fontId="7" fillId="0" borderId="11" xfId="34" applyNumberFormat="1" applyFont="1" applyFill="1" applyBorder="1" applyAlignment="1" applyProtection="1">
      <alignment vertical="center"/>
      <protection hidden="1"/>
    </xf>
    <xf numFmtId="177" fontId="7" fillId="0" borderId="11" xfId="34" applyNumberFormat="1" applyFont="1" applyFill="1" applyBorder="1" applyAlignment="1" applyProtection="1">
      <alignment vertical="center"/>
      <protection hidden="1"/>
    </xf>
    <xf numFmtId="43" fontId="7" fillId="0" borderId="11" xfId="34" applyNumberFormat="1" applyFont="1" applyFill="1" applyBorder="1" applyAlignment="1" applyProtection="1">
      <alignment vertical="center"/>
      <protection hidden="1"/>
    </xf>
    <xf numFmtId="177" fontId="7" fillId="0" borderId="11" xfId="34" applyNumberFormat="1" applyFont="1" applyFill="1" applyBorder="1" applyAlignment="1" applyProtection="1">
      <alignment vertical="center"/>
      <protection locked="0"/>
    </xf>
    <xf numFmtId="43" fontId="7" fillId="0" borderId="11" xfId="34" applyNumberFormat="1" applyFont="1" applyFill="1" applyBorder="1" applyAlignment="1" applyProtection="1">
      <alignment vertical="center"/>
      <protection locked="0"/>
    </xf>
    <xf numFmtId="0" fontId="7" fillId="0" borderId="11" xfId="61" applyFont="1" applyFill="1" applyBorder="1" applyAlignment="1" applyProtection="1">
      <alignment horizontal="left" vertical="center"/>
      <protection locked="0"/>
    </xf>
    <xf numFmtId="167" fontId="5" fillId="0" borderId="11" xfId="34" applyNumberFormat="1" applyFont="1" applyFill="1" applyBorder="1" applyAlignment="1" applyProtection="1">
      <alignment vertical="center"/>
      <protection hidden="1"/>
    </xf>
    <xf numFmtId="0" fontId="7" fillId="0" borderId="0" xfId="61" applyFont="1" applyFill="1" applyAlignment="1" applyProtection="1">
      <alignment vertical="center"/>
    </xf>
    <xf numFmtId="43" fontId="7" fillId="0" borderId="11" xfId="34" applyFont="1" applyFill="1" applyBorder="1" applyAlignment="1" applyProtection="1">
      <alignment vertical="center"/>
      <protection locked="0"/>
    </xf>
    <xf numFmtId="167" fontId="5" fillId="0" borderId="11" xfId="34" applyNumberFormat="1" applyFont="1" applyFill="1" applyBorder="1" applyAlignment="1" applyProtection="1">
      <alignment vertical="center"/>
      <protection locked="0"/>
    </xf>
    <xf numFmtId="167" fontId="5" fillId="0" borderId="0" xfId="61" applyNumberFormat="1" applyFont="1" applyFill="1" applyAlignment="1" applyProtection="1">
      <alignment vertical="center"/>
    </xf>
    <xf numFmtId="0" fontId="5" fillId="0" borderId="0" xfId="61" applyFont="1" applyFill="1" applyAlignment="1" applyProtection="1">
      <alignment vertical="center"/>
    </xf>
    <xf numFmtId="167" fontId="7" fillId="0" borderId="11" xfId="34" applyNumberFormat="1" applyFont="1" applyFill="1" applyBorder="1" applyAlignment="1" applyProtection="1">
      <alignment vertical="center"/>
    </xf>
    <xf numFmtId="167" fontId="7" fillId="0" borderId="0" xfId="61" applyNumberFormat="1" applyFont="1" applyFill="1" applyAlignment="1" applyProtection="1">
      <alignment vertical="center"/>
    </xf>
    <xf numFmtId="167" fontId="43" fillId="0" borderId="11" xfId="34" applyNumberFormat="1" applyFont="1" applyFill="1" applyBorder="1" applyAlignment="1" applyProtection="1">
      <alignment vertical="center"/>
      <protection locked="0"/>
    </xf>
    <xf numFmtId="167" fontId="44" fillId="0" borderId="11" xfId="34" applyNumberFormat="1" applyFont="1" applyFill="1" applyBorder="1" applyAlignment="1" applyProtection="1">
      <alignment vertical="center"/>
      <protection locked="0"/>
    </xf>
    <xf numFmtId="0" fontId="45" fillId="0" borderId="0" xfId="61" applyFont="1" applyFill="1" applyAlignment="1">
      <alignment vertical="center"/>
    </xf>
    <xf numFmtId="167" fontId="43" fillId="0" borderId="11" xfId="34" applyNumberFormat="1" applyFont="1" applyFill="1" applyBorder="1" applyAlignment="1" applyProtection="1">
      <alignment horizontal="center" vertical="center"/>
      <protection locked="0"/>
    </xf>
    <xf numFmtId="0" fontId="43" fillId="0" borderId="0" xfId="61" applyFont="1" applyFill="1" applyAlignment="1">
      <alignment vertical="center"/>
    </xf>
    <xf numFmtId="1" fontId="7" fillId="0" borderId="11" xfId="65" applyNumberFormat="1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167" fontId="35" fillId="0" borderId="0" xfId="0" applyNumberFormat="1" applyFont="1" applyFill="1" applyAlignment="1" applyProtection="1">
      <alignment vertical="center"/>
      <protection locked="0"/>
    </xf>
    <xf numFmtId="0" fontId="35" fillId="0" borderId="0" xfId="0" applyFont="1" applyFill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167" fontId="9" fillId="0" borderId="0" xfId="0" applyNumberFormat="1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locked="0"/>
    </xf>
    <xf numFmtId="0" fontId="5" fillId="0" borderId="11" xfId="0" applyFont="1" applyFill="1" applyBorder="1" applyAlignment="1" applyProtection="1">
      <alignment horizontal="left" vertical="center"/>
      <protection locked="0"/>
    </xf>
    <xf numFmtId="168" fontId="9" fillId="0" borderId="0" xfId="0" applyNumberFormat="1" applyFont="1" applyFill="1" applyAlignment="1" applyProtection="1">
      <alignment vertical="center"/>
      <protection locked="0"/>
    </xf>
    <xf numFmtId="0" fontId="7" fillId="0" borderId="11" xfId="0" quotePrefix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167" fontId="7" fillId="0" borderId="0" xfId="34" applyNumberFormat="1" applyFont="1" applyFill="1" applyAlignment="1" applyProtection="1">
      <alignment vertical="center"/>
      <protection locked="0"/>
    </xf>
    <xf numFmtId="177" fontId="7" fillId="0" borderId="0" xfId="34" applyNumberFormat="1" applyFont="1" applyFill="1" applyAlignment="1" applyProtection="1">
      <alignment vertical="center"/>
      <protection locked="0"/>
    </xf>
    <xf numFmtId="167" fontId="5" fillId="0" borderId="0" xfId="34" applyNumberFormat="1" applyFont="1" applyFill="1" applyAlignment="1" applyProtection="1">
      <alignment vertical="center"/>
      <protection locked="0"/>
    </xf>
    <xf numFmtId="2" fontId="7" fillId="0" borderId="0" xfId="0" applyNumberFormat="1" applyFont="1" applyFill="1" applyAlignment="1" applyProtection="1">
      <alignment vertical="center"/>
      <protection locked="0"/>
    </xf>
    <xf numFmtId="2" fontId="9" fillId="0" borderId="0" xfId="0" applyNumberFormat="1" applyFont="1" applyFill="1" applyAlignment="1" applyProtection="1">
      <alignment vertical="center"/>
      <protection locked="0"/>
    </xf>
    <xf numFmtId="177" fontId="5" fillId="0" borderId="11" xfId="34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167" fontId="38" fillId="0" borderId="11" xfId="34" applyNumberFormat="1" applyFont="1" applyFill="1" applyBorder="1" applyAlignment="1" applyProtection="1">
      <alignment vertical="center"/>
      <protection hidden="1"/>
    </xf>
    <xf numFmtId="0" fontId="7" fillId="0" borderId="0" xfId="59" applyFont="1" applyFill="1" applyProtection="1">
      <protection locked="0"/>
    </xf>
    <xf numFmtId="0" fontId="5" fillId="0" borderId="11" xfId="59" applyFont="1" applyFill="1" applyBorder="1" applyAlignment="1" applyProtection="1">
      <alignment horizontal="center" vertical="center" wrapText="1"/>
      <protection locked="0"/>
    </xf>
    <xf numFmtId="0" fontId="5" fillId="0" borderId="0" xfId="59" applyFont="1" applyFill="1" applyProtection="1">
      <protection locked="0"/>
    </xf>
    <xf numFmtId="167" fontId="7" fillId="0" borderId="0" xfId="59" applyNumberFormat="1" applyFont="1" applyFill="1" applyProtection="1">
      <protection locked="0"/>
    </xf>
    <xf numFmtId="0" fontId="7" fillId="0" borderId="11" xfId="59" applyFont="1" applyFill="1" applyBorder="1" applyAlignment="1" applyProtection="1">
      <alignment horizontal="left" vertical="center" wrapText="1"/>
      <protection locked="0"/>
    </xf>
    <xf numFmtId="0" fontId="7" fillId="0" borderId="11" xfId="59" applyFont="1" applyFill="1" applyBorder="1" applyAlignment="1" applyProtection="1">
      <alignment horizontal="center" vertical="center" wrapText="1"/>
      <protection locked="0"/>
    </xf>
    <xf numFmtId="0" fontId="5" fillId="0" borderId="11" xfId="59" applyFont="1" applyFill="1" applyBorder="1" applyAlignment="1" applyProtection="1">
      <alignment horizontal="left" vertical="center" wrapText="1"/>
      <protection locked="0"/>
    </xf>
    <xf numFmtId="0" fontId="5" fillId="0" borderId="11" xfId="59" applyFont="1" applyFill="1" applyBorder="1" applyAlignment="1" applyProtection="1">
      <alignment horizontal="center" vertical="center"/>
      <protection locked="0"/>
    </xf>
    <xf numFmtId="0" fontId="7" fillId="0" borderId="11" xfId="59" applyFont="1" applyFill="1" applyBorder="1" applyAlignment="1" applyProtection="1">
      <alignment horizontal="center" vertical="center"/>
      <protection locked="0"/>
    </xf>
    <xf numFmtId="0" fontId="5" fillId="0" borderId="0" xfId="59" applyFont="1" applyFill="1" applyBorder="1" applyAlignment="1" applyProtection="1">
      <alignment horizontal="right" vertical="center"/>
      <protection locked="0"/>
    </xf>
    <xf numFmtId="0" fontId="5" fillId="0" borderId="0" xfId="59" applyFont="1" applyFill="1" applyBorder="1" applyAlignment="1" applyProtection="1">
      <alignment horizontal="left" vertical="center" wrapText="1"/>
      <protection locked="0"/>
    </xf>
    <xf numFmtId="0" fontId="5" fillId="0" borderId="0" xfId="59" applyFont="1" applyFill="1" applyBorder="1" applyAlignment="1" applyProtection="1">
      <alignment horizontal="center" vertical="center"/>
      <protection locked="0"/>
    </xf>
    <xf numFmtId="167" fontId="41" fillId="0" borderId="0" xfId="34" applyNumberFormat="1" applyFont="1" applyFill="1" applyBorder="1" applyProtection="1">
      <protection locked="0"/>
    </xf>
    <xf numFmtId="0" fontId="7" fillId="0" borderId="0" xfId="59" applyFont="1" applyFill="1" applyAlignment="1" applyProtection="1">
      <alignment horizontal="center"/>
      <protection locked="0"/>
    </xf>
    <xf numFmtId="164" fontId="7" fillId="0" borderId="0" xfId="59" applyNumberFormat="1" applyFont="1" applyFill="1" applyProtection="1">
      <protection locked="0"/>
    </xf>
    <xf numFmtId="0" fontId="7" fillId="25" borderId="0" xfId="59" applyFont="1" applyFill="1" applyProtection="1">
      <protection locked="0"/>
    </xf>
    <xf numFmtId="0" fontId="5" fillId="0" borderId="11" xfId="59" applyFont="1" applyFill="1" applyBorder="1" applyAlignment="1" applyProtection="1">
      <alignment vertical="center"/>
      <protection locked="0"/>
    </xf>
    <xf numFmtId="0" fontId="5" fillId="0" borderId="0" xfId="59" applyFont="1" applyFill="1" applyAlignment="1" applyProtection="1">
      <alignment vertical="center"/>
      <protection locked="0"/>
    </xf>
    <xf numFmtId="0" fontId="7" fillId="0" borderId="11" xfId="59" applyFont="1" applyFill="1" applyBorder="1" applyAlignment="1" applyProtection="1">
      <alignment vertical="center"/>
      <protection locked="0"/>
    </xf>
    <xf numFmtId="0" fontId="7" fillId="0" borderId="0" xfId="59" applyFont="1" applyFill="1" applyAlignment="1" applyProtection="1">
      <alignment vertical="center"/>
      <protection locked="0"/>
    </xf>
    <xf numFmtId="0" fontId="9" fillId="0" borderId="0" xfId="59" applyFont="1" applyFill="1" applyAlignment="1" applyProtection="1">
      <alignment vertical="center"/>
      <protection locked="0"/>
    </xf>
    <xf numFmtId="0" fontId="5" fillId="0" borderId="11" xfId="59" applyFont="1" applyFill="1" applyBorder="1" applyAlignment="1" applyProtection="1">
      <alignment horizontal="left" vertical="center"/>
      <protection locked="0"/>
    </xf>
    <xf numFmtId="167" fontId="42" fillId="0" borderId="11" xfId="34" applyNumberFormat="1" applyFont="1" applyFill="1" applyBorder="1" applyAlignment="1" applyProtection="1">
      <alignment vertical="center"/>
      <protection locked="0"/>
    </xf>
    <xf numFmtId="167" fontId="7" fillId="0" borderId="0" xfId="59" applyNumberFormat="1" applyFont="1" applyFill="1" applyAlignment="1" applyProtection="1">
      <alignment vertical="center"/>
      <protection locked="0"/>
    </xf>
    <xf numFmtId="167" fontId="47" fillId="0" borderId="11" xfId="34" applyNumberFormat="1" applyFont="1" applyFill="1" applyBorder="1" applyAlignment="1" applyProtection="1">
      <alignment vertical="center"/>
      <protection locked="0"/>
    </xf>
    <xf numFmtId="167" fontId="47" fillId="0" borderId="11" xfId="34" applyNumberFormat="1" applyFont="1" applyFill="1" applyBorder="1" applyAlignment="1">
      <alignment vertical="center"/>
    </xf>
    <xf numFmtId="0" fontId="7" fillId="0" borderId="11" xfId="59" applyFont="1" applyFill="1" applyBorder="1" applyAlignment="1" applyProtection="1">
      <alignment horizontal="left" vertical="center"/>
      <protection locked="0"/>
    </xf>
    <xf numFmtId="2" fontId="7" fillId="0" borderId="0" xfId="59" applyNumberFormat="1" applyFont="1" applyFill="1" applyAlignment="1" applyProtection="1">
      <alignment vertical="center"/>
      <protection locked="0"/>
    </xf>
    <xf numFmtId="2" fontId="9" fillId="0" borderId="0" xfId="59" applyNumberFormat="1" applyFont="1" applyFill="1" applyAlignment="1" applyProtection="1">
      <alignment vertical="center"/>
      <protection locked="0"/>
    </xf>
    <xf numFmtId="0" fontId="35" fillId="0" borderId="0" xfId="59" applyFont="1" applyFill="1" applyAlignment="1" applyProtection="1">
      <alignment vertical="center"/>
      <protection locked="0"/>
    </xf>
    <xf numFmtId="167" fontId="9" fillId="0" borderId="0" xfId="59" applyNumberFormat="1" applyFont="1" applyFill="1" applyAlignment="1" applyProtection="1">
      <alignment vertical="center"/>
      <protection locked="0"/>
    </xf>
    <xf numFmtId="167" fontId="7" fillId="24" borderId="11" xfId="34" applyNumberFormat="1" applyFont="1" applyFill="1" applyBorder="1" applyAlignment="1" applyProtection="1">
      <alignment vertical="center"/>
      <protection locked="0"/>
    </xf>
    <xf numFmtId="167" fontId="7" fillId="24" borderId="11" xfId="34" applyNumberFormat="1" applyFont="1" applyFill="1" applyBorder="1" applyAlignment="1" applyProtection="1">
      <alignment horizontal="center" vertical="center"/>
      <protection locked="0"/>
    </xf>
    <xf numFmtId="1" fontId="7" fillId="24" borderId="11" xfId="65" applyNumberFormat="1" applyFont="1" applyFill="1" applyBorder="1" applyAlignment="1" applyProtection="1">
      <alignment horizontal="center" vertical="center"/>
      <protection locked="0"/>
    </xf>
    <xf numFmtId="3" fontId="7" fillId="0" borderId="11" xfId="34" applyNumberFormat="1" applyFont="1" applyFill="1" applyBorder="1" applyAlignment="1" applyProtection="1">
      <alignment vertical="center"/>
      <protection locked="0"/>
    </xf>
    <xf numFmtId="167" fontId="30" fillId="0" borderId="11" xfId="59" applyNumberFormat="1" applyFont="1" applyFill="1" applyBorder="1" applyAlignment="1">
      <alignment vertical="center"/>
    </xf>
    <xf numFmtId="3" fontId="7" fillId="0" borderId="11" xfId="59" applyNumberFormat="1" applyFont="1" applyFill="1" applyBorder="1" applyAlignment="1">
      <alignment vertical="center"/>
    </xf>
    <xf numFmtId="167" fontId="7" fillId="0" borderId="11" xfId="34" applyNumberFormat="1" applyFont="1" applyFill="1" applyBorder="1" applyAlignment="1">
      <alignment vertical="center"/>
    </xf>
    <xf numFmtId="0" fontId="46" fillId="0" borderId="0" xfId="60" applyFont="1"/>
    <xf numFmtId="0" fontId="7" fillId="0" borderId="0" xfId="60" applyFont="1" applyFill="1" applyProtection="1">
      <protection locked="0"/>
    </xf>
    <xf numFmtId="0" fontId="5" fillId="0" borderId="28" xfId="60" applyFont="1" applyFill="1" applyBorder="1" applyAlignment="1" applyProtection="1">
      <alignment horizontal="center" vertical="center"/>
      <protection locked="0"/>
    </xf>
    <xf numFmtId="0" fontId="5" fillId="0" borderId="0" xfId="60" applyFont="1" applyFill="1" applyProtection="1">
      <protection locked="0"/>
    </xf>
    <xf numFmtId="0" fontId="5" fillId="0" borderId="0" xfId="60" applyFont="1" applyFill="1" applyBorder="1" applyAlignment="1" applyProtection="1">
      <alignment horizontal="right" vertical="center"/>
      <protection locked="0"/>
    </xf>
    <xf numFmtId="0" fontId="5" fillId="0" borderId="0" xfId="60" applyFont="1" applyFill="1" applyBorder="1" applyAlignment="1" applyProtection="1">
      <alignment horizontal="left" vertical="center" wrapText="1"/>
      <protection locked="0"/>
    </xf>
    <xf numFmtId="167" fontId="5" fillId="0" borderId="0" xfId="34" applyNumberFormat="1" applyFont="1" applyFill="1" applyBorder="1" applyProtection="1">
      <protection locked="0"/>
    </xf>
    <xf numFmtId="0" fontId="7" fillId="0" borderId="0" xfId="60" applyFont="1" applyFill="1" applyAlignment="1" applyProtection="1">
      <alignment horizontal="center"/>
      <protection locked="0"/>
    </xf>
    <xf numFmtId="167" fontId="7" fillId="0" borderId="0" xfId="60" applyNumberFormat="1" applyFont="1" applyFill="1" applyProtection="1">
      <protection locked="0"/>
    </xf>
    <xf numFmtId="177" fontId="7" fillId="0" borderId="0" xfId="60" applyNumberFormat="1" applyFont="1" applyFill="1" applyProtection="1">
      <protection locked="0"/>
    </xf>
    <xf numFmtId="176" fontId="7" fillId="0" borderId="0" xfId="60" applyNumberFormat="1" applyFont="1" applyFill="1" applyProtection="1">
      <protection locked="0"/>
    </xf>
    <xf numFmtId="2" fontId="7" fillId="0" borderId="0" xfId="60" applyNumberFormat="1" applyFont="1" applyFill="1" applyProtection="1">
      <protection locked="0"/>
    </xf>
    <xf numFmtId="186" fontId="7" fillId="0" borderId="0" xfId="60" applyNumberFormat="1" applyFont="1" applyFill="1" applyProtection="1">
      <protection locked="0"/>
    </xf>
    <xf numFmtId="165" fontId="7" fillId="0" borderId="0" xfId="60" applyNumberFormat="1" applyFont="1" applyFill="1" applyProtection="1">
      <protection locked="0"/>
    </xf>
    <xf numFmtId="0" fontId="7" fillId="0" borderId="11" xfId="60" applyFont="1" applyFill="1" applyBorder="1" applyAlignment="1" applyProtection="1">
      <alignment horizontal="left" vertical="center" wrapText="1"/>
      <protection locked="0"/>
    </xf>
    <xf numFmtId="0" fontId="7" fillId="0" borderId="11" xfId="60" applyFont="1" applyFill="1" applyBorder="1" applyAlignment="1" applyProtection="1">
      <alignment horizontal="center" vertical="center" wrapText="1"/>
      <protection locked="0"/>
    </xf>
    <xf numFmtId="0" fontId="5" fillId="0" borderId="11" xfId="60" applyFont="1" applyFill="1" applyBorder="1" applyAlignment="1" applyProtection="1">
      <alignment horizontal="center" vertical="center"/>
      <protection locked="0"/>
    </xf>
    <xf numFmtId="0" fontId="5" fillId="0" borderId="11" xfId="60" applyFont="1" applyFill="1" applyBorder="1" applyAlignment="1" applyProtection="1">
      <alignment vertical="center"/>
      <protection locked="0"/>
    </xf>
    <xf numFmtId="0" fontId="5" fillId="0" borderId="0" xfId="60" applyFont="1" applyFill="1" applyAlignment="1" applyProtection="1">
      <alignment vertical="center"/>
      <protection locked="0"/>
    </xf>
    <xf numFmtId="0" fontId="7" fillId="0" borderId="11" xfId="60" applyFont="1" applyFill="1" applyBorder="1" applyAlignment="1" applyProtection="1">
      <alignment vertical="center"/>
      <protection locked="0"/>
    </xf>
    <xf numFmtId="0" fontId="7" fillId="0" borderId="0" xfId="60" applyFont="1" applyFill="1" applyAlignment="1" applyProtection="1">
      <alignment vertical="center"/>
      <protection locked="0"/>
    </xf>
    <xf numFmtId="0" fontId="7" fillId="0" borderId="11" xfId="60" applyFont="1" applyFill="1" applyBorder="1" applyAlignment="1" applyProtection="1">
      <alignment horizontal="center" vertical="center"/>
      <protection locked="0"/>
    </xf>
    <xf numFmtId="0" fontId="9" fillId="0" borderId="0" xfId="60" applyFont="1" applyFill="1" applyAlignment="1" applyProtection="1">
      <alignment vertical="center"/>
      <protection locked="0"/>
    </xf>
    <xf numFmtId="0" fontId="7" fillId="0" borderId="11" xfId="60" applyFont="1" applyFill="1" applyBorder="1" applyAlignment="1" applyProtection="1">
      <alignment horizontal="left" vertical="center"/>
      <protection locked="0"/>
    </xf>
    <xf numFmtId="2" fontId="9" fillId="0" borderId="0" xfId="60" applyNumberFormat="1" applyFont="1" applyFill="1" applyAlignment="1" applyProtection="1">
      <alignment vertical="center"/>
      <protection locked="0"/>
    </xf>
    <xf numFmtId="165" fontId="9" fillId="0" borderId="0" xfId="60" applyNumberFormat="1" applyFont="1" applyFill="1" applyAlignment="1" applyProtection="1">
      <alignment vertical="center"/>
      <protection locked="0"/>
    </xf>
    <xf numFmtId="0" fontId="35" fillId="0" borderId="0" xfId="60" applyFont="1" applyFill="1" applyAlignment="1" applyProtection="1">
      <alignment vertical="center"/>
      <protection locked="0"/>
    </xf>
    <xf numFmtId="167" fontId="9" fillId="0" borderId="0" xfId="60" applyNumberFormat="1" applyFont="1" applyFill="1" applyAlignment="1" applyProtection="1">
      <alignment vertical="center"/>
      <protection locked="0"/>
    </xf>
    <xf numFmtId="0" fontId="5" fillId="24" borderId="11" xfId="60" applyFont="1" applyFill="1" applyBorder="1" applyAlignment="1" applyProtection="1">
      <alignment horizontal="center" vertical="center"/>
      <protection locked="0"/>
    </xf>
    <xf numFmtId="0" fontId="5" fillId="24" borderId="11" xfId="60" applyFont="1" applyFill="1" applyBorder="1" applyAlignment="1" applyProtection="1">
      <alignment horizontal="left" vertical="center"/>
      <protection locked="0"/>
    </xf>
    <xf numFmtId="167" fontId="5" fillId="24" borderId="11" xfId="34" applyNumberFormat="1" applyFont="1" applyFill="1" applyBorder="1" applyAlignment="1" applyProtection="1">
      <alignment vertical="center"/>
      <protection hidden="1"/>
    </xf>
    <xf numFmtId="0" fontId="5" fillId="24" borderId="0" xfId="60" applyFont="1" applyFill="1" applyAlignment="1" applyProtection="1">
      <alignment vertical="center"/>
      <protection locked="0"/>
    </xf>
    <xf numFmtId="0" fontId="35" fillId="24" borderId="0" xfId="60" applyFont="1" applyFill="1" applyAlignment="1" applyProtection="1">
      <alignment vertical="center"/>
      <protection locked="0"/>
    </xf>
    <xf numFmtId="0" fontId="7" fillId="24" borderId="11" xfId="60" applyFont="1" applyFill="1" applyBorder="1" applyAlignment="1" applyProtection="1">
      <alignment horizontal="left" vertical="center"/>
      <protection locked="0"/>
    </xf>
    <xf numFmtId="0" fontId="7" fillId="24" borderId="0" xfId="60" applyFont="1" applyFill="1" applyAlignment="1" applyProtection="1">
      <alignment vertical="center"/>
      <protection locked="0"/>
    </xf>
    <xf numFmtId="0" fontId="9" fillId="24" borderId="0" xfId="60" applyFont="1" applyFill="1" applyAlignment="1" applyProtection="1">
      <alignment vertical="center"/>
      <protection locked="0"/>
    </xf>
    <xf numFmtId="0" fontId="49" fillId="0" borderId="0" xfId="58" applyFont="1" applyFill="1" applyAlignment="1">
      <alignment horizontal="center" vertical="center" wrapText="1"/>
    </xf>
    <xf numFmtId="0" fontId="50" fillId="0" borderId="0" xfId="58" applyFont="1" applyFill="1"/>
    <xf numFmtId="0" fontId="50" fillId="0" borderId="0" xfId="58" applyFont="1" applyFill="1" applyAlignment="1">
      <alignment horizontal="center" vertical="center" wrapText="1"/>
    </xf>
    <xf numFmtId="0" fontId="49" fillId="0" borderId="11" xfId="58" applyFont="1" applyFill="1" applyBorder="1" applyAlignment="1" applyProtection="1">
      <alignment horizontal="center" vertical="center" wrapText="1"/>
      <protection locked="0"/>
    </xf>
    <xf numFmtId="0" fontId="49" fillId="0" borderId="11" xfId="58" applyFont="1" applyFill="1" applyBorder="1" applyAlignment="1" applyProtection="1">
      <alignment horizontal="left" vertical="center" wrapText="1"/>
      <protection locked="0"/>
    </xf>
    <xf numFmtId="0" fontId="50" fillId="0" borderId="0" xfId="58" applyFont="1" applyFill="1" applyAlignment="1">
      <alignment vertical="center"/>
    </xf>
    <xf numFmtId="0" fontId="50" fillId="0" borderId="11" xfId="58" applyFont="1" applyFill="1" applyBorder="1" applyAlignment="1">
      <alignment horizontal="center" vertical="center"/>
    </xf>
    <xf numFmtId="0" fontId="50" fillId="0" borderId="11" xfId="58" applyFont="1" applyFill="1" applyBorder="1" applyAlignment="1" applyProtection="1">
      <alignment horizontal="left" vertical="center"/>
      <protection locked="0"/>
    </xf>
    <xf numFmtId="167" fontId="50" fillId="0" borderId="11" xfId="34" applyNumberFormat="1" applyFont="1" applyFill="1" applyBorder="1" applyAlignment="1">
      <alignment horizontal="center" vertical="center"/>
    </xf>
    <xf numFmtId="0" fontId="50" fillId="0" borderId="11" xfId="58" applyFont="1" applyFill="1" applyBorder="1" applyAlignment="1">
      <alignment vertical="center"/>
    </xf>
    <xf numFmtId="0" fontId="50" fillId="0" borderId="11" xfId="57" applyFont="1" applyFill="1" applyBorder="1" applyAlignment="1" applyProtection="1">
      <alignment horizontal="left" vertical="center"/>
      <protection locked="0"/>
    </xf>
    <xf numFmtId="0" fontId="50" fillId="0" borderId="11" xfId="58" applyFont="1" applyFill="1" applyBorder="1" applyAlignment="1" applyProtection="1">
      <alignment horizontal="center" vertical="center"/>
      <protection locked="0"/>
    </xf>
    <xf numFmtId="0" fontId="50" fillId="0" borderId="11" xfId="57" applyFont="1" applyFill="1" applyBorder="1" applyAlignment="1" applyProtection="1">
      <alignment horizontal="center" vertical="center"/>
      <protection locked="0"/>
    </xf>
    <xf numFmtId="167" fontId="49" fillId="0" borderId="11" xfId="34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58" applyFont="1" applyFill="1" applyAlignment="1">
      <alignment horizontal="center" vertical="center"/>
    </xf>
    <xf numFmtId="167" fontId="50" fillId="0" borderId="11" xfId="34" applyNumberFormat="1" applyFont="1" applyFill="1" applyBorder="1" applyAlignment="1" applyProtection="1">
      <alignment horizontal="center" vertical="center"/>
      <protection locked="0"/>
    </xf>
    <xf numFmtId="0" fontId="50" fillId="0" borderId="11" xfId="58" applyFont="1" applyFill="1" applyBorder="1" applyAlignment="1" applyProtection="1">
      <alignment horizontal="left" vertical="center" wrapText="1"/>
      <protection locked="0"/>
    </xf>
    <xf numFmtId="0" fontId="50" fillId="0" borderId="11" xfId="58" applyFont="1" applyFill="1" applyBorder="1" applyAlignment="1" applyProtection="1">
      <alignment horizontal="center" vertical="center" wrapText="1"/>
      <protection locked="0"/>
    </xf>
    <xf numFmtId="0" fontId="50" fillId="0" borderId="0" xfId="58" applyFont="1" applyFill="1" applyAlignment="1" applyProtection="1">
      <alignment vertical="center"/>
      <protection locked="0"/>
    </xf>
    <xf numFmtId="0" fontId="50" fillId="0" borderId="0" xfId="58" applyFont="1" applyFill="1" applyAlignment="1" applyProtection="1">
      <alignment horizontal="center" vertical="center"/>
      <protection locked="0"/>
    </xf>
    <xf numFmtId="0" fontId="50" fillId="0" borderId="0" xfId="58" applyFont="1" applyFill="1" applyAlignment="1" applyProtection="1">
      <alignment horizontal="left" vertical="center"/>
      <protection locked="0"/>
    </xf>
    <xf numFmtId="0" fontId="50" fillId="0" borderId="0" xfId="58" applyFont="1" applyFill="1" applyAlignment="1" applyProtection="1">
      <alignment horizontal="right" vertical="center"/>
      <protection locked="0"/>
    </xf>
    <xf numFmtId="0" fontId="50" fillId="0" borderId="11" xfId="58" applyFont="1" applyFill="1" applyBorder="1" applyAlignment="1">
      <alignment horizontal="left" vertical="center"/>
    </xf>
    <xf numFmtId="0" fontId="50" fillId="0" borderId="11" xfId="58" applyFont="1" applyFill="1" applyBorder="1" applyAlignment="1" applyProtection="1">
      <alignment vertical="center"/>
      <protection locked="0"/>
    </xf>
    <xf numFmtId="0" fontId="50" fillId="0" borderId="11" xfId="58" applyFont="1" applyFill="1" applyBorder="1" applyAlignment="1" applyProtection="1">
      <alignment vertical="center" wrapText="1"/>
      <protection locked="0"/>
    </xf>
    <xf numFmtId="0" fontId="49" fillId="0" borderId="0" xfId="58" applyFont="1" applyFill="1" applyAlignment="1" applyProtection="1">
      <alignment horizontal="center" vertical="center"/>
      <protection locked="0"/>
    </xf>
    <xf numFmtId="0" fontId="50" fillId="0" borderId="11" xfId="57" applyFont="1" applyFill="1" applyBorder="1" applyAlignment="1" applyProtection="1">
      <alignment vertical="center"/>
      <protection locked="0"/>
    </xf>
    <xf numFmtId="0" fontId="50" fillId="0" borderId="0" xfId="58" applyFont="1" applyFill="1" applyAlignment="1">
      <alignment horizontal="center"/>
    </xf>
    <xf numFmtId="0" fontId="7" fillId="0" borderId="11" xfId="0" applyFont="1" applyFill="1" applyBorder="1" applyAlignment="1" applyProtection="1">
      <alignment horizontal="left" vertical="center" indent="5"/>
      <protection locked="0"/>
    </xf>
    <xf numFmtId="0" fontId="7" fillId="0" borderId="11" xfId="61" quotePrefix="1" applyFont="1" applyFill="1" applyBorder="1" applyAlignment="1" applyProtection="1">
      <alignment horizontal="left" vertical="center" indent="5"/>
      <protection locked="0"/>
    </xf>
    <xf numFmtId="0" fontId="7" fillId="0" borderId="11" xfId="61" applyFont="1" applyFill="1" applyBorder="1" applyAlignment="1" applyProtection="1">
      <alignment horizontal="left" vertical="center" indent="3"/>
      <protection locked="0"/>
    </xf>
    <xf numFmtId="0" fontId="5" fillId="0" borderId="11" xfId="59" applyFont="1" applyFill="1" applyBorder="1" applyAlignment="1" applyProtection="1">
      <alignment horizontal="right" vertical="center"/>
      <protection locked="0"/>
    </xf>
    <xf numFmtId="0" fontId="7" fillId="0" borderId="11" xfId="59" applyFont="1" applyFill="1" applyBorder="1" applyAlignment="1" applyProtection="1">
      <alignment horizontal="right" vertical="center"/>
      <protection locked="0"/>
    </xf>
    <xf numFmtId="0" fontId="7" fillId="0" borderId="11" xfId="59" quotePrefix="1" applyFont="1" applyFill="1" applyBorder="1" applyAlignment="1" applyProtection="1">
      <alignment horizontal="left" vertical="center" indent="5"/>
      <protection locked="0"/>
    </xf>
    <xf numFmtId="0" fontId="7" fillId="0" borderId="11" xfId="59" applyFont="1" applyFill="1" applyBorder="1" applyAlignment="1" applyProtection="1">
      <alignment horizontal="left" vertical="center" indent="3"/>
      <protection locked="0"/>
    </xf>
    <xf numFmtId="0" fontId="7" fillId="0" borderId="11" xfId="60" applyFont="1" applyFill="1" applyBorder="1" applyAlignment="1" applyProtection="1">
      <alignment horizontal="left" vertical="center" indent="4"/>
      <protection locked="0"/>
    </xf>
    <xf numFmtId="0" fontId="7" fillId="0" borderId="11" xfId="60" quotePrefix="1" applyFont="1" applyFill="1" applyBorder="1" applyAlignment="1" applyProtection="1">
      <alignment horizontal="left" vertical="center" indent="4"/>
      <protection locked="0"/>
    </xf>
    <xf numFmtId="167" fontId="0" fillId="0" borderId="0" xfId="34" applyNumberFormat="1" applyFont="1"/>
    <xf numFmtId="167" fontId="0" fillId="0" borderId="0" xfId="0" applyNumberFormat="1"/>
    <xf numFmtId="0" fontId="5" fillId="26" borderId="11" xfId="0" applyFont="1" applyFill="1" applyBorder="1" applyAlignment="1" applyProtection="1">
      <alignment horizontal="left" vertical="center"/>
      <protection locked="0"/>
    </xf>
    <xf numFmtId="0" fontId="7" fillId="26" borderId="11" xfId="0" applyFont="1" applyFill="1" applyBorder="1" applyAlignment="1" applyProtection="1">
      <alignment horizontal="left" vertical="center"/>
      <protection locked="0"/>
    </xf>
    <xf numFmtId="167" fontId="51" fillId="0" borderId="11" xfId="34" applyNumberFormat="1" applyFont="1" applyFill="1" applyBorder="1" applyAlignment="1" applyProtection="1">
      <alignment vertical="center"/>
      <protection locked="0"/>
    </xf>
    <xf numFmtId="167" fontId="52" fillId="0" borderId="11" xfId="34" applyNumberFormat="1" applyFont="1" applyFill="1" applyBorder="1" applyAlignment="1" applyProtection="1">
      <alignment horizontal="center" vertical="center"/>
      <protection locked="0"/>
    </xf>
    <xf numFmtId="0" fontId="53" fillId="0" borderId="0" xfId="0" applyFont="1"/>
    <xf numFmtId="0" fontId="53" fillId="0" borderId="0" xfId="0" applyFont="1" applyAlignment="1">
      <alignment horizontal="left"/>
    </xf>
    <xf numFmtId="0" fontId="50" fillId="26" borderId="11" xfId="58" applyFont="1" applyFill="1" applyBorder="1" applyAlignment="1" applyProtection="1">
      <alignment horizontal="center" vertical="center"/>
      <protection locked="0"/>
    </xf>
    <xf numFmtId="0" fontId="49" fillId="0" borderId="11" xfId="58" applyFont="1" applyFill="1" applyBorder="1" applyAlignment="1" applyProtection="1">
      <alignment horizontal="center" vertical="center"/>
      <protection locked="0"/>
    </xf>
    <xf numFmtId="0" fontId="49" fillId="0" borderId="11" xfId="58" applyFont="1" applyFill="1" applyBorder="1" applyAlignment="1" applyProtection="1">
      <alignment horizontal="left" vertical="center"/>
      <protection locked="0"/>
    </xf>
    <xf numFmtId="0" fontId="49" fillId="0" borderId="11" xfId="58" applyFont="1" applyFill="1" applyBorder="1" applyAlignment="1">
      <alignment horizontal="center"/>
    </xf>
    <xf numFmtId="167" fontId="49" fillId="0" borderId="11" xfId="34" applyNumberFormat="1" applyFont="1" applyFill="1" applyBorder="1" applyAlignment="1" applyProtection="1">
      <alignment horizontal="center" vertical="center"/>
      <protection locked="0"/>
    </xf>
    <xf numFmtId="0" fontId="49" fillId="0" borderId="0" xfId="58" applyFont="1" applyFill="1"/>
    <xf numFmtId="0" fontId="54" fillId="0" borderId="0" xfId="0" applyFont="1" applyAlignment="1">
      <alignment horizontal="left"/>
    </xf>
    <xf numFmtId="167" fontId="59" fillId="0" borderId="0" xfId="66" applyNumberFormat="1" applyFont="1" applyBorder="1" applyAlignment="1">
      <alignment horizontal="center" vertical="center" wrapText="1"/>
    </xf>
    <xf numFmtId="0" fontId="7" fillId="0" borderId="0" xfId="66" applyFont="1" applyFill="1" applyProtection="1">
      <protection locked="0"/>
    </xf>
    <xf numFmtId="0" fontId="5" fillId="0" borderId="0" xfId="66" applyFont="1" applyFill="1" applyProtection="1">
      <protection locked="0"/>
    </xf>
    <xf numFmtId="0" fontId="51" fillId="0" borderId="0" xfId="66" applyFont="1" applyFill="1" applyProtection="1">
      <protection locked="0"/>
    </xf>
    <xf numFmtId="0" fontId="5" fillId="0" borderId="11" xfId="66" applyFont="1" applyFill="1" applyBorder="1" applyAlignment="1" applyProtection="1">
      <alignment horizontal="center"/>
      <protection locked="0"/>
    </xf>
    <xf numFmtId="1" fontId="7" fillId="0" borderId="11" xfId="65" applyNumberFormat="1" applyFont="1" applyFill="1" applyBorder="1" applyAlignment="1" applyProtection="1">
      <alignment horizontal="center"/>
      <protection locked="0"/>
    </xf>
    <xf numFmtId="0" fontId="58" fillId="0" borderId="0" xfId="66" applyFont="1" applyFill="1" applyProtection="1">
      <protection locked="0"/>
    </xf>
    <xf numFmtId="0" fontId="59" fillId="0" borderId="0" xfId="66" applyFont="1" applyFill="1" applyProtection="1">
      <protection locked="0"/>
    </xf>
    <xf numFmtId="0" fontId="59" fillId="0" borderId="0" xfId="66" applyFont="1" applyFill="1" applyAlignment="1" applyProtection="1">
      <alignment horizontal="center"/>
      <protection locked="0"/>
    </xf>
    <xf numFmtId="0" fontId="60" fillId="0" borderId="11" xfId="66" applyFont="1" applyFill="1" applyBorder="1" applyAlignment="1" applyProtection="1">
      <alignment horizontal="center" vertical="center" wrapText="1"/>
      <protection locked="0"/>
    </xf>
    <xf numFmtId="0" fontId="59" fillId="0" borderId="0" xfId="66" applyFont="1" applyFill="1" applyBorder="1" applyProtection="1">
      <protection locked="0"/>
    </xf>
    <xf numFmtId="0" fontId="60" fillId="0" borderId="11" xfId="66" applyFont="1" applyFill="1" applyBorder="1" applyAlignment="1" applyProtection="1">
      <alignment horizontal="left" vertical="center" wrapText="1"/>
      <protection locked="0"/>
    </xf>
    <xf numFmtId="0" fontId="60" fillId="0" borderId="11" xfId="66" applyFont="1" applyFill="1" applyBorder="1" applyAlignment="1" applyProtection="1">
      <alignment vertical="center" wrapText="1"/>
      <protection locked="0"/>
    </xf>
    <xf numFmtId="0" fontId="60" fillId="0" borderId="11" xfId="66" applyFont="1" applyFill="1" applyBorder="1" applyAlignment="1" applyProtection="1">
      <alignment horizontal="center"/>
      <protection locked="0"/>
    </xf>
    <xf numFmtId="0" fontId="60" fillId="0" borderId="11" xfId="66" applyFont="1" applyFill="1" applyBorder="1" applyProtection="1">
      <protection locked="0"/>
    </xf>
    <xf numFmtId="0" fontId="61" fillId="0" borderId="11" xfId="66" applyFont="1" applyFill="1" applyBorder="1" applyProtection="1">
      <protection locked="0"/>
    </xf>
    <xf numFmtId="0" fontId="61" fillId="0" borderId="11" xfId="66" applyFont="1" applyFill="1" applyBorder="1" applyAlignment="1" applyProtection="1">
      <alignment horizontal="right" wrapText="1"/>
      <protection locked="0"/>
    </xf>
    <xf numFmtId="0" fontId="61" fillId="0" borderId="11" xfId="66" applyFont="1" applyFill="1" applyBorder="1" applyAlignment="1" applyProtection="1">
      <alignment horizontal="center"/>
      <protection locked="0"/>
    </xf>
    <xf numFmtId="0" fontId="61" fillId="0" borderId="11" xfId="66" applyFont="1" applyFill="1" applyBorder="1" applyAlignment="1" applyProtection="1">
      <alignment horizontal="right"/>
      <protection locked="0"/>
    </xf>
    <xf numFmtId="167" fontId="59" fillId="0" borderId="0" xfId="66" applyNumberFormat="1" applyFont="1" applyFill="1" applyBorder="1" applyProtection="1">
      <protection locked="0"/>
    </xf>
    <xf numFmtId="0" fontId="60" fillId="0" borderId="11" xfId="66" applyFont="1" applyFill="1" applyBorder="1" applyAlignment="1">
      <alignment horizontal="left"/>
    </xf>
    <xf numFmtId="0" fontId="62" fillId="0" borderId="11" xfId="66" applyFont="1" applyFill="1" applyBorder="1" applyAlignment="1" applyProtection="1">
      <alignment horizontal="center"/>
      <protection locked="0"/>
    </xf>
    <xf numFmtId="0" fontId="62" fillId="0" borderId="11" xfId="66" applyFont="1" applyFill="1" applyBorder="1" applyProtection="1">
      <protection locked="0"/>
    </xf>
    <xf numFmtId="167" fontId="60" fillId="0" borderId="11" xfId="66" applyNumberFormat="1" applyFont="1" applyFill="1" applyBorder="1" applyAlignment="1" applyProtection="1">
      <alignment horizontal="center"/>
      <protection locked="0"/>
    </xf>
    <xf numFmtId="0" fontId="61" fillId="0" borderId="11" xfId="66" quotePrefix="1" applyFont="1" applyBorder="1" applyAlignment="1">
      <alignment horizontal="left"/>
    </xf>
    <xf numFmtId="0" fontId="61" fillId="0" borderId="11" xfId="66" quotePrefix="1" applyFont="1" applyFill="1" applyBorder="1" applyAlignment="1">
      <alignment horizontal="left"/>
    </xf>
    <xf numFmtId="0" fontId="61" fillId="0" borderId="11" xfId="55" quotePrefix="1" applyFont="1" applyBorder="1" applyAlignment="1">
      <alignment vertical="center" wrapText="1"/>
    </xf>
    <xf numFmtId="0" fontId="63" fillId="0" borderId="0" xfId="66" applyFont="1" applyFill="1" applyBorder="1" applyAlignment="1" applyProtection="1">
      <alignment horizontal="right"/>
      <protection locked="0"/>
    </xf>
    <xf numFmtId="0" fontId="61" fillId="0" borderId="11" xfId="66" quotePrefix="1" applyFont="1" applyFill="1" applyBorder="1" applyProtection="1">
      <protection locked="0"/>
    </xf>
    <xf numFmtId="0" fontId="62" fillId="0" borderId="0" xfId="66" applyFont="1" applyFill="1" applyAlignment="1" applyProtection="1">
      <protection locked="0"/>
    </xf>
    <xf numFmtId="0" fontId="60" fillId="0" borderId="11" xfId="66" applyFont="1" applyBorder="1" applyAlignment="1"/>
    <xf numFmtId="0" fontId="64" fillId="0" borderId="0" xfId="66" applyFont="1" applyFill="1" applyBorder="1" applyAlignment="1" applyProtection="1">
      <alignment horizontal="right"/>
      <protection locked="0"/>
    </xf>
    <xf numFmtId="0" fontId="58" fillId="0" borderId="0" xfId="66" applyFont="1" applyFill="1" applyBorder="1" applyProtection="1">
      <protection locked="0"/>
    </xf>
    <xf numFmtId="0" fontId="60" fillId="0" borderId="11" xfId="66" quotePrefix="1" applyFont="1" applyFill="1" applyBorder="1" applyAlignment="1" applyProtection="1">
      <protection locked="0"/>
    </xf>
    <xf numFmtId="0" fontId="61" fillId="0" borderId="29" xfId="66" applyFont="1" applyFill="1" applyBorder="1" applyAlignment="1" applyProtection="1">
      <alignment horizontal="right"/>
      <protection locked="0"/>
    </xf>
    <xf numFmtId="0" fontId="61" fillId="0" borderId="11" xfId="66" applyFont="1" applyFill="1" applyBorder="1" applyAlignment="1" applyProtection="1">
      <alignment horizontal="left" indent="5"/>
      <protection locked="0"/>
    </xf>
    <xf numFmtId="0" fontId="61" fillId="0" borderId="11" xfId="66" applyFont="1" applyFill="1" applyBorder="1" applyAlignment="1" applyProtection="1">
      <alignment horizontal="left"/>
      <protection locked="0"/>
    </xf>
    <xf numFmtId="0" fontId="60" fillId="0" borderId="11" xfId="66" applyFont="1" applyFill="1" applyBorder="1" applyAlignment="1" applyProtection="1">
      <alignment horizontal="left"/>
      <protection locked="0"/>
    </xf>
    <xf numFmtId="0" fontId="41" fillId="0" borderId="11" xfId="66" applyFont="1" applyFill="1" applyBorder="1" applyAlignment="1" applyProtection="1">
      <alignment horizontal="left"/>
      <protection locked="0"/>
    </xf>
    <xf numFmtId="0" fontId="42" fillId="0" borderId="11" xfId="66" applyFont="1" applyFill="1" applyBorder="1" applyAlignment="1" applyProtection="1">
      <alignment horizontal="left"/>
      <protection locked="0"/>
    </xf>
    <xf numFmtId="0" fontId="61" fillId="0" borderId="11" xfId="66" applyFont="1" applyFill="1" applyBorder="1" applyAlignment="1">
      <alignment vertical="center"/>
    </xf>
    <xf numFmtId="0" fontId="65" fillId="0" borderId="11" xfId="66" applyFont="1" applyBorder="1" applyAlignment="1">
      <alignment horizontal="center" vertical="center"/>
    </xf>
    <xf numFmtId="0" fontId="65" fillId="0" borderId="11" xfId="66" applyFont="1" applyFill="1" applyBorder="1" applyAlignment="1">
      <alignment horizontal="center" vertical="center"/>
    </xf>
    <xf numFmtId="0" fontId="61" fillId="0" borderId="11" xfId="66" applyFont="1" applyFill="1" applyBorder="1" applyAlignment="1" applyProtection="1">
      <protection locked="0"/>
    </xf>
    <xf numFmtId="0" fontId="61" fillId="0" borderId="11" xfId="66" applyFont="1" applyFill="1" applyBorder="1" applyAlignment="1">
      <alignment horizontal="left" vertical="center"/>
    </xf>
    <xf numFmtId="167" fontId="61" fillId="0" borderId="11" xfId="66" applyNumberFormat="1" applyFont="1" applyBorder="1" applyAlignment="1"/>
    <xf numFmtId="0" fontId="66" fillId="0" borderId="11" xfId="66" applyFont="1" applyFill="1" applyBorder="1" applyProtection="1">
      <protection locked="0"/>
    </xf>
    <xf numFmtId="167" fontId="61" fillId="0" borderId="11" xfId="66" applyNumberFormat="1" applyFont="1" applyBorder="1"/>
    <xf numFmtId="167" fontId="61" fillId="0" borderId="11" xfId="66" applyNumberFormat="1" applyFont="1" applyBorder="1" applyAlignment="1">
      <alignment horizontal="right" vertical="center"/>
    </xf>
    <xf numFmtId="0" fontId="61" fillId="0" borderId="11" xfId="66" applyFont="1" applyFill="1" applyBorder="1" applyAlignment="1" applyProtection="1">
      <alignment horizontal="right" vertical="center"/>
      <protection locked="0"/>
    </xf>
    <xf numFmtId="0" fontId="67" fillId="0" borderId="11" xfId="66" applyFont="1" applyFill="1" applyBorder="1" applyAlignment="1" applyProtection="1">
      <alignment horizontal="right" vertical="center"/>
      <protection locked="0"/>
    </xf>
    <xf numFmtId="0" fontId="66" fillId="0" borderId="11" xfId="66" applyFont="1" applyFill="1" applyBorder="1" applyAlignment="1" applyProtection="1">
      <alignment horizontal="center"/>
      <protection locked="0"/>
    </xf>
    <xf numFmtId="0" fontId="66" fillId="0" borderId="11" xfId="66" applyFont="1" applyFill="1" applyBorder="1" applyAlignment="1" applyProtection="1">
      <alignment horizontal="right"/>
      <protection locked="0"/>
    </xf>
    <xf numFmtId="167" fontId="61" fillId="0" borderId="11" xfId="66" applyNumberFormat="1" applyFont="1" applyBorder="1" applyAlignment="1">
      <alignment horizontal="right"/>
    </xf>
    <xf numFmtId="167" fontId="61" fillId="0" borderId="11" xfId="66" applyNumberFormat="1" applyFont="1" applyFill="1" applyBorder="1" applyAlignment="1">
      <alignment horizontal="right"/>
    </xf>
    <xf numFmtId="0" fontId="60" fillId="0" borderId="11" xfId="66" quotePrefix="1" applyFont="1" applyFill="1" applyBorder="1" applyAlignment="1" applyProtection="1">
      <alignment horizontal="left"/>
      <protection locked="0"/>
    </xf>
    <xf numFmtId="0" fontId="42" fillId="0" borderId="11" xfId="66" applyFont="1" applyFill="1" applyBorder="1" applyAlignment="1" applyProtection="1">
      <alignment horizontal="left" indent="5"/>
      <protection locked="0"/>
    </xf>
    <xf numFmtId="167" fontId="60" fillId="0" borderId="11" xfId="66" applyNumberFormat="1" applyFont="1" applyBorder="1"/>
    <xf numFmtId="167" fontId="61" fillId="0" borderId="11" xfId="66" quotePrefix="1" applyNumberFormat="1" applyFont="1" applyBorder="1"/>
    <xf numFmtId="0" fontId="60" fillId="0" borderId="11" xfId="66" applyFont="1" applyBorder="1" applyAlignment="1">
      <alignment horizontal="center"/>
    </xf>
    <xf numFmtId="0" fontId="60" fillId="24" borderId="11" xfId="66" applyFont="1" applyFill="1" applyBorder="1" applyAlignment="1" applyProtection="1">
      <alignment horizontal="left"/>
      <protection locked="0"/>
    </xf>
    <xf numFmtId="167" fontId="61" fillId="24" borderId="11" xfId="34" applyNumberFormat="1" applyFont="1" applyFill="1" applyBorder="1" applyProtection="1">
      <protection locked="0"/>
    </xf>
    <xf numFmtId="0" fontId="66" fillId="0" borderId="0" xfId="66" applyFont="1" applyFill="1" applyProtection="1">
      <protection locked="0"/>
    </xf>
    <xf numFmtId="0" fontId="61" fillId="24" borderId="11" xfId="66" applyFont="1" applyFill="1" applyBorder="1" applyAlignment="1" applyProtection="1">
      <alignment horizontal="left" indent="4"/>
      <protection locked="0"/>
    </xf>
    <xf numFmtId="167" fontId="61" fillId="0" borderId="11" xfId="66" applyNumberFormat="1" applyFont="1" applyFill="1" applyBorder="1" applyAlignment="1">
      <alignment horizontal="center"/>
    </xf>
    <xf numFmtId="0" fontId="68" fillId="0" borderId="0" xfId="66" applyFont="1" applyFill="1" applyProtection="1">
      <protection locked="0"/>
    </xf>
    <xf numFmtId="0" fontId="60" fillId="0" borderId="0" xfId="66" applyFont="1" applyFill="1" applyProtection="1">
      <protection locked="0"/>
    </xf>
    <xf numFmtId="0" fontId="60" fillId="0" borderId="11" xfId="66" applyFont="1" applyFill="1" applyBorder="1" applyAlignment="1" applyProtection="1">
      <alignment horizontal="right"/>
      <protection locked="0"/>
    </xf>
    <xf numFmtId="1" fontId="60" fillId="0" borderId="11" xfId="66" applyNumberFormat="1" applyFont="1" applyFill="1" applyBorder="1" applyAlignment="1" applyProtection="1">
      <alignment horizontal="center"/>
      <protection locked="0"/>
    </xf>
    <xf numFmtId="0" fontId="69" fillId="0" borderId="11" xfId="66" applyFont="1" applyFill="1" applyBorder="1" applyAlignment="1" applyProtection="1">
      <alignment horizontal="center"/>
      <protection locked="0"/>
    </xf>
    <xf numFmtId="0" fontId="69" fillId="0" borderId="11" xfId="66" applyFont="1" applyFill="1" applyBorder="1" applyProtection="1">
      <protection locked="0"/>
    </xf>
    <xf numFmtId="0" fontId="61" fillId="0" borderId="11" xfId="66" applyFont="1" applyBorder="1" applyAlignment="1">
      <alignment horizontal="center"/>
    </xf>
    <xf numFmtId="0" fontId="61" fillId="0" borderId="11" xfId="66" applyFont="1" applyBorder="1"/>
    <xf numFmtId="1" fontId="61" fillId="0" borderId="11" xfId="66" applyNumberFormat="1" applyFont="1" applyBorder="1" applyAlignment="1">
      <alignment horizontal="center"/>
    </xf>
    <xf numFmtId="167" fontId="61" fillId="0" borderId="11" xfId="66" applyNumberFormat="1" applyFont="1" applyBorder="1" applyAlignment="1">
      <alignment horizontal="center"/>
    </xf>
    <xf numFmtId="0" fontId="61" fillId="0" borderId="11" xfId="66" applyFont="1" applyBorder="1" applyAlignment="1">
      <alignment horizontal="center" vertical="center"/>
    </xf>
    <xf numFmtId="0" fontId="70" fillId="0" borderId="11" xfId="66" applyFont="1" applyFill="1" applyBorder="1" applyAlignment="1" applyProtection="1">
      <alignment horizontal="center"/>
      <protection locked="0"/>
    </xf>
    <xf numFmtId="16" fontId="69" fillId="0" borderId="11" xfId="66" quotePrefix="1" applyNumberFormat="1" applyFont="1" applyFill="1" applyBorder="1" applyAlignment="1" applyProtection="1">
      <alignment horizontal="center"/>
      <protection locked="0"/>
    </xf>
    <xf numFmtId="0" fontId="60" fillId="0" borderId="11" xfId="66" applyFont="1" applyBorder="1"/>
    <xf numFmtId="167" fontId="60" fillId="0" borderId="11" xfId="66" applyNumberFormat="1" applyFont="1" applyBorder="1" applyAlignment="1">
      <alignment horizontal="center"/>
    </xf>
    <xf numFmtId="167" fontId="61" fillId="0" borderId="11" xfId="66" applyNumberFormat="1" applyFont="1" applyFill="1" applyBorder="1"/>
    <xf numFmtId="0" fontId="60" fillId="0" borderId="11" xfId="66" applyFont="1" applyBorder="1" applyAlignment="1">
      <alignment vertical="center"/>
    </xf>
    <xf numFmtId="0" fontId="60" fillId="0" borderId="11" xfId="66" applyFont="1" applyFill="1" applyBorder="1" applyAlignment="1" applyProtection="1">
      <alignment vertical="center"/>
      <protection locked="0"/>
    </xf>
    <xf numFmtId="0" fontId="71" fillId="0" borderId="0" xfId="66" applyFont="1" applyFill="1" applyAlignment="1" applyProtection="1">
      <alignment vertical="center"/>
      <protection locked="0"/>
    </xf>
    <xf numFmtId="0" fontId="69" fillId="0" borderId="11" xfId="66" applyFont="1" applyFill="1" applyBorder="1" applyAlignment="1" applyProtection="1">
      <alignment horizontal="center" vertical="center"/>
      <protection locked="0"/>
    </xf>
    <xf numFmtId="0" fontId="69" fillId="0" borderId="11" xfId="66" applyFont="1" applyFill="1" applyBorder="1" applyAlignment="1" applyProtection="1">
      <alignment vertical="center"/>
      <protection locked="0"/>
    </xf>
    <xf numFmtId="167" fontId="61" fillId="0" borderId="11" xfId="66" applyNumberFormat="1" applyFont="1" applyFill="1" applyBorder="1" applyAlignment="1">
      <alignment vertical="center"/>
    </xf>
    <xf numFmtId="0" fontId="61" fillId="0" borderId="11" xfId="66" quotePrefix="1" applyFont="1" applyFill="1" applyBorder="1" applyAlignment="1">
      <alignment horizontal="left" vertical="center"/>
    </xf>
    <xf numFmtId="16" fontId="69" fillId="0" borderId="11" xfId="66" quotePrefix="1" applyNumberFormat="1" applyFont="1" applyFill="1" applyBorder="1" applyAlignment="1" applyProtection="1">
      <alignment horizontal="center" vertical="center"/>
      <protection locked="0"/>
    </xf>
    <xf numFmtId="0" fontId="61" fillId="0" borderId="11" xfId="66" quotePrefix="1" applyFont="1" applyFill="1" applyBorder="1" applyAlignment="1" applyProtection="1">
      <alignment vertical="center"/>
      <protection locked="0"/>
    </xf>
    <xf numFmtId="0" fontId="61" fillId="0" borderId="11" xfId="66" quotePrefix="1" applyFont="1" applyBorder="1" applyAlignment="1">
      <alignment horizontal="left" vertical="center"/>
    </xf>
    <xf numFmtId="167" fontId="61" fillId="0" borderId="11" xfId="66" applyNumberFormat="1" applyFont="1" applyBorder="1" applyAlignment="1">
      <alignment vertical="center"/>
    </xf>
    <xf numFmtId="0" fontId="67" fillId="0" borderId="11" xfId="66" applyFont="1" applyFill="1" applyBorder="1" applyAlignment="1" applyProtection="1">
      <alignment vertical="center"/>
      <protection locked="0"/>
    </xf>
    <xf numFmtId="0" fontId="72" fillId="0" borderId="11" xfId="66" applyFont="1" applyFill="1" applyBorder="1" applyAlignment="1" applyProtection="1">
      <alignment vertical="center"/>
      <protection locked="0"/>
    </xf>
    <xf numFmtId="0" fontId="69" fillId="0" borderId="0" xfId="66" applyFont="1" applyFill="1" applyAlignment="1" applyProtection="1">
      <alignment vertical="center"/>
      <protection locked="0"/>
    </xf>
    <xf numFmtId="167" fontId="61" fillId="0" borderId="11" xfId="66" applyNumberFormat="1" applyFont="1" applyFill="1" applyBorder="1" applyAlignment="1">
      <alignment horizontal="right" vertical="center"/>
    </xf>
    <xf numFmtId="167" fontId="68" fillId="0" borderId="0" xfId="66" applyNumberFormat="1" applyFont="1" applyFill="1" applyProtection="1">
      <protection locked="0"/>
    </xf>
    <xf numFmtId="0" fontId="69" fillId="0" borderId="11" xfId="66" applyFont="1" applyFill="1" applyBorder="1" applyAlignment="1">
      <alignment horizontal="left"/>
    </xf>
    <xf numFmtId="0" fontId="60" fillId="0" borderId="11" xfId="66" applyFont="1" applyFill="1" applyBorder="1" applyAlignment="1" applyProtection="1">
      <protection locked="0"/>
    </xf>
    <xf numFmtId="167" fontId="60" fillId="0" borderId="11" xfId="66" applyNumberFormat="1" applyFont="1" applyFill="1" applyBorder="1" applyAlignment="1" applyProtection="1">
      <protection locked="0"/>
    </xf>
    <xf numFmtId="167" fontId="60" fillId="0" borderId="11" xfId="34" applyNumberFormat="1" applyFont="1" applyBorder="1" applyAlignment="1">
      <alignment wrapText="1"/>
    </xf>
    <xf numFmtId="167" fontId="60" fillId="0" borderId="11" xfId="66" applyNumberFormat="1" applyFont="1" applyBorder="1" applyAlignment="1"/>
    <xf numFmtId="0" fontId="61" fillId="0" borderId="11" xfId="66" applyFont="1" applyBorder="1" applyAlignment="1">
      <alignment horizontal="right"/>
    </xf>
    <xf numFmtId="167" fontId="61" fillId="0" borderId="11" xfId="34" applyNumberFormat="1" applyFont="1" applyBorder="1" applyAlignment="1">
      <alignment vertical="center" wrapText="1"/>
    </xf>
    <xf numFmtId="167" fontId="61" fillId="0" borderId="11" xfId="34" applyNumberFormat="1" applyFont="1" applyBorder="1" applyAlignment="1">
      <alignment wrapText="1"/>
    </xf>
    <xf numFmtId="167" fontId="59" fillId="0" borderId="0" xfId="66" applyNumberFormat="1" applyFont="1" applyBorder="1"/>
    <xf numFmtId="0" fontId="68" fillId="0" borderId="0" xfId="66" applyFont="1" applyFill="1" applyBorder="1" applyProtection="1">
      <protection locked="0"/>
    </xf>
    <xf numFmtId="0" fontId="73" fillId="0" borderId="0" xfId="54" quotePrefix="1" applyFont="1" applyBorder="1" applyAlignment="1">
      <alignment horizontal="right" vertical="center" wrapText="1"/>
    </xf>
    <xf numFmtId="0" fontId="75" fillId="0" borderId="0" xfId="66" applyFont="1" applyFill="1" applyBorder="1" applyProtection="1">
      <protection locked="0"/>
    </xf>
    <xf numFmtId="0" fontId="73" fillId="0" borderId="0" xfId="54" applyFont="1" applyBorder="1" applyAlignment="1">
      <alignment horizontal="right" vertical="center" wrapText="1"/>
    </xf>
    <xf numFmtId="0" fontId="76" fillId="0" borderId="0" xfId="66" applyFont="1" applyFill="1" applyProtection="1">
      <protection locked="0"/>
    </xf>
    <xf numFmtId="0" fontId="59" fillId="0" borderId="0" xfId="66" applyFont="1" applyFill="1" applyBorder="1" applyAlignment="1" applyProtection="1">
      <alignment horizontal="right"/>
      <protection locked="0"/>
    </xf>
    <xf numFmtId="0" fontId="60" fillId="0" borderId="11" xfId="66" applyFont="1" applyFill="1" applyBorder="1" applyAlignment="1" applyProtection="1">
      <alignment horizontal="center" vertical="center"/>
      <protection locked="0"/>
    </xf>
    <xf numFmtId="0" fontId="60" fillId="0" borderId="11" xfId="66" applyFont="1" applyFill="1" applyBorder="1" applyAlignment="1">
      <alignment horizontal="left" vertical="center"/>
    </xf>
    <xf numFmtId="0" fontId="60" fillId="0" borderId="11" xfId="66" applyFont="1" applyFill="1" applyBorder="1" applyAlignment="1" applyProtection="1">
      <alignment horizontal="right" vertical="center"/>
      <protection locked="0"/>
    </xf>
    <xf numFmtId="167" fontId="60" fillId="0" borderId="11" xfId="34" applyNumberFormat="1" applyFont="1" applyFill="1" applyBorder="1" applyAlignment="1">
      <alignment horizontal="center" vertical="center"/>
    </xf>
    <xf numFmtId="0" fontId="76" fillId="0" borderId="0" xfId="66" applyFont="1" applyFill="1" applyAlignment="1" applyProtection="1">
      <alignment vertical="center"/>
      <protection locked="0"/>
    </xf>
    <xf numFmtId="0" fontId="69" fillId="0" borderId="11" xfId="66" applyFont="1" applyFill="1" applyBorder="1" applyAlignment="1">
      <alignment horizontal="left" vertical="center"/>
    </xf>
    <xf numFmtId="0" fontId="61" fillId="0" borderId="11" xfId="66" applyFont="1" applyFill="1" applyBorder="1" applyAlignment="1">
      <alignment horizontal="right" vertical="center"/>
    </xf>
    <xf numFmtId="167" fontId="61" fillId="0" borderId="11" xfId="34" applyNumberFormat="1" applyFont="1" applyFill="1" applyBorder="1" applyAlignment="1">
      <alignment horizontal="center" vertical="center"/>
    </xf>
    <xf numFmtId="16" fontId="69" fillId="0" borderId="11" xfId="66" applyNumberFormat="1" applyFont="1" applyFill="1" applyBorder="1" applyAlignment="1" applyProtection="1">
      <alignment horizontal="center" vertical="center"/>
      <protection locked="0"/>
    </xf>
    <xf numFmtId="0" fontId="68" fillId="0" borderId="0" xfId="66" applyFont="1" applyFill="1" applyAlignment="1" applyProtection="1">
      <alignment vertical="center"/>
      <protection locked="0"/>
    </xf>
    <xf numFmtId="16" fontId="61" fillId="0" borderId="11" xfId="66" applyNumberFormat="1" applyFont="1" applyBorder="1" applyAlignment="1">
      <alignment vertical="center"/>
    </xf>
    <xf numFmtId="0" fontId="61" fillId="0" borderId="11" xfId="66" applyFont="1" applyBorder="1" applyAlignment="1">
      <alignment vertical="center"/>
    </xf>
    <xf numFmtId="0" fontId="61" fillId="0" borderId="11" xfId="55" applyFont="1" applyFill="1" applyBorder="1" applyAlignment="1">
      <alignment horizontal="center" vertical="center" wrapText="1"/>
    </xf>
    <xf numFmtId="0" fontId="61" fillId="0" borderId="11" xfId="54" quotePrefix="1" applyFont="1" applyFill="1" applyBorder="1" applyAlignment="1">
      <alignment horizontal="center" vertical="center" wrapText="1"/>
    </xf>
    <xf numFmtId="0" fontId="61" fillId="0" borderId="11" xfId="66" applyFont="1" applyFill="1" applyBorder="1" applyAlignment="1">
      <alignment horizontal="center" vertical="center"/>
    </xf>
    <xf numFmtId="167" fontId="61" fillId="0" borderId="11" xfId="66" applyNumberFormat="1" applyFont="1" applyFill="1" applyBorder="1" applyAlignment="1">
      <alignment horizontal="center" vertical="center"/>
    </xf>
    <xf numFmtId="0" fontId="66" fillId="0" borderId="11" xfId="66" applyFont="1" applyFill="1" applyBorder="1" applyAlignment="1" applyProtection="1">
      <alignment horizontal="center" vertical="center"/>
      <protection locked="0"/>
    </xf>
    <xf numFmtId="0" fontId="66" fillId="0" borderId="11" xfId="66" applyFont="1" applyFill="1" applyBorder="1" applyAlignment="1" applyProtection="1">
      <alignment vertical="center"/>
      <protection locked="0"/>
    </xf>
    <xf numFmtId="0" fontId="60" fillId="0" borderId="11" xfId="66" quotePrefix="1" applyFont="1" applyBorder="1" applyAlignment="1"/>
    <xf numFmtId="0" fontId="77" fillId="0" borderId="11" xfId="66" applyFont="1" applyFill="1" applyBorder="1" applyAlignment="1" applyProtection="1">
      <protection locked="0"/>
    </xf>
    <xf numFmtId="16" fontId="60" fillId="0" borderId="11" xfId="66" applyNumberFormat="1" applyFont="1" applyBorder="1" applyAlignment="1"/>
    <xf numFmtId="0" fontId="61" fillId="0" borderId="11" xfId="66" quotePrefix="1" applyFont="1" applyFill="1" applyBorder="1" applyAlignment="1" applyProtection="1">
      <protection locked="0"/>
    </xf>
    <xf numFmtId="0" fontId="66" fillId="0" borderId="11" xfId="66" applyFont="1" applyFill="1" applyBorder="1" applyAlignment="1" applyProtection="1">
      <protection locked="0"/>
    </xf>
    <xf numFmtId="0" fontId="61" fillId="0" borderId="11" xfId="66" applyFont="1" applyBorder="1" applyAlignment="1"/>
    <xf numFmtId="0" fontId="61" fillId="0" borderId="11" xfId="66" quotePrefix="1" applyFont="1" applyFill="1" applyBorder="1" applyAlignment="1" applyProtection="1">
      <alignment horizontal="left"/>
      <protection locked="0"/>
    </xf>
    <xf numFmtId="167" fontId="61" fillId="0" borderId="11" xfId="66" applyNumberFormat="1" applyFont="1" applyFill="1" applyBorder="1" applyAlignment="1" applyProtection="1">
      <protection locked="0"/>
    </xf>
    <xf numFmtId="0" fontId="71" fillId="0" borderId="11" xfId="66" applyFont="1" applyFill="1" applyBorder="1" applyAlignment="1" applyProtection="1">
      <alignment horizontal="right" vertical="center"/>
      <protection locked="0"/>
    </xf>
    <xf numFmtId="167" fontId="60" fillId="0" borderId="11" xfId="66" applyNumberFormat="1" applyFont="1" applyBorder="1" applyAlignment="1">
      <alignment horizontal="right" vertical="center"/>
    </xf>
    <xf numFmtId="0" fontId="55" fillId="0" borderId="11" xfId="66" quotePrefix="1" applyFont="1" applyFill="1" applyBorder="1" applyAlignment="1" applyProtection="1">
      <alignment horizontal="left"/>
      <protection locked="0"/>
    </xf>
    <xf numFmtId="0" fontId="55" fillId="0" borderId="11" xfId="66" applyFont="1" applyFill="1" applyBorder="1" applyAlignment="1" applyProtection="1">
      <alignment horizontal="center"/>
      <protection locked="0"/>
    </xf>
    <xf numFmtId="0" fontId="55" fillId="0" borderId="11" xfId="66" applyFont="1" applyFill="1" applyBorder="1" applyAlignment="1" applyProtection="1">
      <alignment horizontal="right" vertical="center"/>
      <protection locked="0"/>
    </xf>
    <xf numFmtId="167" fontId="55" fillId="0" borderId="11" xfId="66" applyNumberFormat="1" applyFont="1" applyBorder="1" applyAlignment="1">
      <alignment horizontal="right" vertical="center"/>
    </xf>
    <xf numFmtId="0" fontId="78" fillId="0" borderId="11" xfId="66" applyFont="1" applyFill="1" applyBorder="1" applyAlignment="1" applyProtection="1">
      <alignment horizontal="right" vertical="center"/>
      <protection locked="0"/>
    </xf>
    <xf numFmtId="0" fontId="71" fillId="0" borderId="11" xfId="66" quotePrefix="1" applyFont="1" applyFill="1" applyBorder="1" applyProtection="1">
      <protection locked="0"/>
    </xf>
    <xf numFmtId="167" fontId="60" fillId="0" borderId="11" xfId="66" applyNumberFormat="1" applyFont="1" applyFill="1" applyBorder="1" applyAlignment="1">
      <alignment horizontal="right"/>
    </xf>
    <xf numFmtId="0" fontId="67" fillId="0" borderId="11" xfId="66" applyFont="1" applyFill="1" applyBorder="1" applyAlignment="1" applyProtection="1">
      <alignment horizontal="right"/>
      <protection locked="0"/>
    </xf>
    <xf numFmtId="0" fontId="60" fillId="0" borderId="11" xfId="66" quotePrefix="1" applyFont="1" applyFill="1" applyBorder="1" applyProtection="1">
      <protection locked="0"/>
    </xf>
    <xf numFmtId="0" fontId="71" fillId="0" borderId="11" xfId="66" applyFont="1" applyFill="1" applyBorder="1" applyAlignment="1" applyProtection="1">
      <alignment horizontal="right"/>
      <protection locked="0"/>
    </xf>
    <xf numFmtId="167" fontId="60" fillId="0" borderId="11" xfId="66" applyNumberFormat="1" applyFont="1" applyBorder="1" applyAlignment="1">
      <alignment horizontal="right"/>
    </xf>
    <xf numFmtId="167" fontId="59" fillId="0" borderId="0" xfId="34" applyNumberFormat="1" applyFont="1" applyBorder="1" applyAlignment="1">
      <alignment horizontal="center" vertical="center" wrapText="1"/>
    </xf>
    <xf numFmtId="167" fontId="59" fillId="0" borderId="0" xfId="66" applyNumberFormat="1" applyFont="1" applyBorder="1" applyAlignment="1">
      <alignment horizontal="center" vertical="center"/>
    </xf>
    <xf numFmtId="167" fontId="59" fillId="0" borderId="0" xfId="34" applyNumberFormat="1" applyFont="1" applyBorder="1" applyAlignment="1">
      <alignment horizontal="center" vertical="center"/>
    </xf>
    <xf numFmtId="167" fontId="61" fillId="0" borderId="11" xfId="66" applyNumberFormat="1" applyFont="1" applyFill="1" applyBorder="1" applyAlignment="1" applyProtection="1">
      <alignment horizontal="right"/>
      <protection locked="0"/>
    </xf>
    <xf numFmtId="167" fontId="60" fillId="0" borderId="11" xfId="66" quotePrefix="1" applyNumberFormat="1" applyFont="1" applyBorder="1" applyAlignment="1">
      <alignment vertical="center"/>
    </xf>
    <xf numFmtId="167" fontId="56" fillId="0" borderId="11" xfId="66" applyNumberFormat="1" applyFont="1" applyBorder="1" applyAlignment="1">
      <alignment horizontal="right"/>
    </xf>
    <xf numFmtId="0" fontId="61" fillId="0" borderId="11" xfId="66" applyFont="1" applyFill="1" applyBorder="1" applyAlignment="1" applyProtection="1">
      <alignment horizontal="right" vertical="center" wrapText="1"/>
      <protection locked="0"/>
    </xf>
    <xf numFmtId="0" fontId="61" fillId="0" borderId="11" xfId="66" applyFont="1" applyFill="1" applyBorder="1" applyAlignment="1" applyProtection="1">
      <alignment horizontal="center" vertical="center" wrapText="1"/>
      <protection locked="0"/>
    </xf>
    <xf numFmtId="0" fontId="66" fillId="0" borderId="0" xfId="66" applyFont="1" applyFill="1" applyAlignment="1" applyProtection="1">
      <alignment horizontal="center"/>
      <protection locked="0"/>
    </xf>
    <xf numFmtId="167" fontId="61" fillId="0" borderId="11" xfId="66" applyNumberFormat="1" applyFont="1" applyBorder="1" applyAlignment="1">
      <alignment wrapText="1"/>
    </xf>
    <xf numFmtId="0" fontId="63" fillId="0" borderId="11" xfId="66" applyFont="1" applyFill="1" applyBorder="1" applyProtection="1">
      <protection locked="0"/>
    </xf>
    <xf numFmtId="0" fontId="63" fillId="0" borderId="11" xfId="66" applyFont="1" applyFill="1" applyBorder="1" applyAlignment="1" applyProtection="1">
      <alignment horizontal="center"/>
      <protection locked="0"/>
    </xf>
    <xf numFmtId="0" fontId="64" fillId="0" borderId="11" xfId="66" applyFont="1" applyFill="1" applyBorder="1" applyProtection="1">
      <protection locked="0"/>
    </xf>
    <xf numFmtId="0" fontId="64" fillId="0" borderId="11" xfId="66" applyFont="1" applyFill="1" applyBorder="1" applyAlignment="1">
      <alignment horizontal="left"/>
    </xf>
    <xf numFmtId="167" fontId="63" fillId="0" borderId="11" xfId="66" applyNumberFormat="1" applyFont="1" applyBorder="1"/>
    <xf numFmtId="167" fontId="63" fillId="0" borderId="11" xfId="66" applyNumberFormat="1" applyFont="1" applyFill="1" applyBorder="1" applyAlignment="1">
      <alignment horizontal="center"/>
    </xf>
    <xf numFmtId="167" fontId="63" fillId="0" borderId="11" xfId="34" applyNumberFormat="1" applyFont="1" applyBorder="1" applyAlignment="1">
      <alignment horizontal="center" vertical="center" wrapText="1"/>
    </xf>
    <xf numFmtId="0" fontId="79" fillId="0" borderId="11" xfId="66" applyFont="1" applyFill="1" applyBorder="1" applyProtection="1">
      <protection locked="0"/>
    </xf>
    <xf numFmtId="167" fontId="63" fillId="0" borderId="11" xfId="66" quotePrefix="1" applyNumberFormat="1" applyFont="1" applyBorder="1"/>
    <xf numFmtId="0" fontId="64" fillId="24" borderId="11" xfId="66" applyFont="1" applyFill="1" applyBorder="1" applyAlignment="1" applyProtection="1">
      <alignment horizontal="left"/>
      <protection locked="0"/>
    </xf>
    <xf numFmtId="0" fontId="63" fillId="0" borderId="11" xfId="66" applyFont="1" applyFill="1" applyBorder="1" applyAlignment="1" applyProtection="1">
      <alignment horizontal="left"/>
      <protection locked="0"/>
    </xf>
    <xf numFmtId="0" fontId="63" fillId="24" borderId="11" xfId="66" applyFont="1" applyFill="1" applyBorder="1" applyAlignment="1" applyProtection="1">
      <alignment horizontal="left" indent="4"/>
      <protection locked="0"/>
    </xf>
    <xf numFmtId="167" fontId="80" fillId="0" borderId="11" xfId="66" applyNumberFormat="1" applyFont="1" applyBorder="1"/>
    <xf numFmtId="0" fontId="80" fillId="0" borderId="11" xfId="66" applyFont="1" applyFill="1" applyBorder="1" applyProtection="1">
      <protection locked="0"/>
    </xf>
    <xf numFmtId="3" fontId="80" fillId="0" borderId="11" xfId="66" applyNumberFormat="1" applyFont="1" applyFill="1" applyBorder="1" applyProtection="1">
      <protection locked="0"/>
    </xf>
    <xf numFmtId="0" fontId="57" fillId="0" borderId="0" xfId="66" applyFont="1" applyFill="1" applyProtection="1">
      <protection locked="0"/>
    </xf>
    <xf numFmtId="0" fontId="81" fillId="0" borderId="11" xfId="66" applyFont="1" applyFill="1" applyBorder="1" applyAlignment="1" applyProtection="1">
      <alignment horizontal="left"/>
      <protection locked="0"/>
    </xf>
    <xf numFmtId="0" fontId="81" fillId="0" borderId="11" xfId="66" applyFont="1" applyFill="1" applyBorder="1" applyProtection="1">
      <protection locked="0"/>
    </xf>
    <xf numFmtId="3" fontId="82" fillId="0" borderId="11" xfId="66" applyNumberFormat="1" applyFont="1" applyFill="1" applyBorder="1" applyProtection="1">
      <protection locked="0"/>
    </xf>
    <xf numFmtId="0" fontId="81" fillId="24" borderId="11" xfId="66" applyFont="1" applyFill="1" applyBorder="1" applyAlignment="1" applyProtection="1">
      <alignment horizontal="left" indent="4"/>
      <protection locked="0"/>
    </xf>
    <xf numFmtId="0" fontId="81" fillId="0" borderId="11" xfId="66" applyFont="1" applyFill="1" applyBorder="1" applyAlignment="1" applyProtection="1">
      <alignment horizontal="center"/>
      <protection locked="0"/>
    </xf>
    <xf numFmtId="167" fontId="64" fillId="0" borderId="11" xfId="66" applyNumberFormat="1" applyFont="1" applyBorder="1"/>
    <xf numFmtId="3" fontId="64" fillId="0" borderId="11" xfId="66" applyNumberFormat="1" applyFont="1" applyFill="1" applyBorder="1" applyProtection="1">
      <protection locked="0"/>
    </xf>
    <xf numFmtId="3" fontId="63" fillId="0" borderId="11" xfId="66" applyNumberFormat="1" applyFont="1" applyFill="1" applyBorder="1" applyProtection="1">
      <protection locked="0"/>
    </xf>
    <xf numFmtId="3" fontId="59" fillId="0" borderId="11" xfId="66" applyNumberFormat="1" applyFont="1" applyFill="1" applyBorder="1" applyAlignment="1" applyProtection="1">
      <alignment horizontal="center"/>
      <protection locked="0"/>
    </xf>
    <xf numFmtId="0" fontId="59" fillId="0" borderId="11" xfId="66" applyFont="1" applyFill="1" applyBorder="1" applyAlignment="1" applyProtection="1">
      <alignment horizontal="center"/>
      <protection locked="0"/>
    </xf>
    <xf numFmtId="167" fontId="64" fillId="0" borderId="16" xfId="66" applyNumberFormat="1" applyFont="1" applyFill="1" applyBorder="1" applyProtection="1">
      <protection locked="0"/>
    </xf>
    <xf numFmtId="167" fontId="63" fillId="0" borderId="16" xfId="34" applyNumberFormat="1" applyFont="1" applyFill="1" applyBorder="1" applyProtection="1">
      <protection locked="0"/>
    </xf>
    <xf numFmtId="167" fontId="63" fillId="0" borderId="16" xfId="34" applyNumberFormat="1" applyFont="1" applyFill="1" applyBorder="1" applyAlignment="1" applyProtection="1">
      <alignment horizontal="center"/>
      <protection locked="0"/>
    </xf>
    <xf numFmtId="0" fontId="63" fillId="0" borderId="17" xfId="66" applyFont="1" applyFill="1" applyBorder="1" applyProtection="1">
      <protection locked="0"/>
    </xf>
    <xf numFmtId="0" fontId="63" fillId="0" borderId="17" xfId="66" applyFont="1" applyFill="1" applyBorder="1" applyAlignment="1" applyProtection="1">
      <alignment horizontal="center"/>
      <protection locked="0"/>
    </xf>
    <xf numFmtId="167" fontId="63" fillId="0" borderId="17" xfId="34" applyNumberFormat="1" applyFont="1" applyFill="1" applyBorder="1" applyAlignment="1" applyProtection="1">
      <alignment horizontal="center"/>
      <protection locked="0"/>
    </xf>
    <xf numFmtId="0" fontId="60" fillId="0" borderId="11" xfId="66" applyFont="1" applyFill="1" applyBorder="1" applyAlignment="1" applyProtection="1">
      <alignment horizontal="right" wrapText="1"/>
      <protection locked="0"/>
    </xf>
    <xf numFmtId="167" fontId="60" fillId="0" borderId="11" xfId="66" applyNumberFormat="1" applyFont="1" applyFill="1" applyBorder="1" applyAlignment="1" applyProtection="1">
      <alignment horizontal="right"/>
      <protection locked="0"/>
    </xf>
    <xf numFmtId="0" fontId="65" fillId="0" borderId="11" xfId="66" applyFont="1" applyBorder="1" applyAlignment="1">
      <alignment horizontal="right" vertical="center"/>
    </xf>
    <xf numFmtId="0" fontId="65" fillId="0" borderId="11" xfId="66" applyFont="1" applyFill="1" applyBorder="1" applyAlignment="1">
      <alignment horizontal="right" vertical="center"/>
    </xf>
    <xf numFmtId="0" fontId="60" fillId="26" borderId="11" xfId="66" applyFont="1" applyFill="1" applyBorder="1" applyAlignment="1">
      <alignment horizontal="center"/>
    </xf>
    <xf numFmtId="0" fontId="60" fillId="26" borderId="11" xfId="66" applyFont="1" applyFill="1" applyBorder="1" applyAlignment="1" applyProtection="1">
      <alignment horizontal="left"/>
      <protection locked="0"/>
    </xf>
    <xf numFmtId="0" fontId="60" fillId="26" borderId="11" xfId="66" applyFont="1" applyFill="1" applyBorder="1" applyAlignment="1" applyProtection="1">
      <alignment horizontal="center"/>
      <protection locked="0"/>
    </xf>
    <xf numFmtId="0" fontId="61" fillId="26" borderId="11" xfId="66" applyFont="1" applyFill="1" applyBorder="1" applyAlignment="1" applyProtection="1">
      <alignment horizontal="center"/>
      <protection locked="0"/>
    </xf>
    <xf numFmtId="0" fontId="61" fillId="26" borderId="11" xfId="66" applyFont="1" applyFill="1" applyBorder="1" applyAlignment="1" applyProtection="1">
      <alignment horizontal="right"/>
      <protection locked="0"/>
    </xf>
    <xf numFmtId="0" fontId="61" fillId="26" borderId="29" xfId="66" applyFont="1" applyFill="1" applyBorder="1" applyAlignment="1" applyProtection="1">
      <alignment horizontal="right"/>
      <protection locked="0"/>
    </xf>
    <xf numFmtId="0" fontId="63" fillId="26" borderId="0" xfId="66" applyFont="1" applyFill="1" applyBorder="1" applyAlignment="1" applyProtection="1">
      <alignment horizontal="right"/>
      <protection locked="0"/>
    </xf>
    <xf numFmtId="0" fontId="59" fillId="26" borderId="0" xfId="66" applyFont="1" applyFill="1" applyBorder="1" applyProtection="1">
      <protection locked="0"/>
    </xf>
    <xf numFmtId="0" fontId="64" fillId="0" borderId="11" xfId="66" applyFont="1" applyFill="1" applyBorder="1" applyAlignment="1" applyProtection="1">
      <alignment horizontal="center"/>
      <protection locked="0"/>
    </xf>
    <xf numFmtId="0" fontId="59" fillId="26" borderId="0" xfId="66" applyFont="1" applyFill="1" applyAlignment="1" applyProtection="1">
      <alignment horizontal="center"/>
      <protection locked="0"/>
    </xf>
    <xf numFmtId="0" fontId="60" fillId="26" borderId="11" xfId="66" applyFont="1" applyFill="1" applyBorder="1" applyAlignment="1" applyProtection="1">
      <alignment horizontal="center" vertical="center" wrapText="1"/>
      <protection locked="0"/>
    </xf>
    <xf numFmtId="0" fontId="60" fillId="26" borderId="11" xfId="66" applyFont="1" applyFill="1" applyBorder="1" applyAlignment="1" applyProtection="1">
      <alignment horizontal="right"/>
      <protection locked="0"/>
    </xf>
    <xf numFmtId="167" fontId="60" fillId="26" borderId="11" xfId="66" applyNumberFormat="1" applyFont="1" applyFill="1" applyBorder="1" applyAlignment="1" applyProtection="1">
      <alignment horizontal="right"/>
      <protection locked="0"/>
    </xf>
    <xf numFmtId="167" fontId="61" fillId="26" borderId="11" xfId="66" applyNumberFormat="1" applyFont="1" applyFill="1" applyBorder="1" applyAlignment="1" applyProtection="1">
      <alignment horizontal="right"/>
      <protection locked="0"/>
    </xf>
    <xf numFmtId="0" fontId="65" fillId="26" borderId="11" xfId="66" applyFont="1" applyFill="1" applyBorder="1" applyAlignment="1">
      <alignment horizontal="right" vertical="center"/>
    </xf>
    <xf numFmtId="167" fontId="61" fillId="26" borderId="11" xfId="66" applyNumberFormat="1" applyFont="1" applyFill="1" applyBorder="1" applyAlignment="1">
      <alignment horizontal="right"/>
    </xf>
    <xf numFmtId="0" fontId="61" fillId="26" borderId="11" xfId="66" applyFont="1" applyFill="1" applyBorder="1"/>
    <xf numFmtId="0" fontId="60" fillId="26" borderId="11" xfId="66" applyFont="1" applyFill="1" applyBorder="1"/>
    <xf numFmtId="167" fontId="61" fillId="26" borderId="11" xfId="66" applyNumberFormat="1" applyFont="1" applyFill="1" applyBorder="1"/>
    <xf numFmtId="0" fontId="71" fillId="26" borderId="0" xfId="66" applyFont="1" applyFill="1" applyAlignment="1" applyProtection="1">
      <alignment vertical="center"/>
      <protection locked="0"/>
    </xf>
    <xf numFmtId="167" fontId="61" fillId="26" borderId="11" xfId="66" applyNumberFormat="1" applyFont="1" applyFill="1" applyBorder="1" applyAlignment="1">
      <alignment vertical="center"/>
    </xf>
    <xf numFmtId="0" fontId="60" fillId="26" borderId="11" xfId="66" applyFont="1" applyFill="1" applyBorder="1" applyAlignment="1" applyProtection="1">
      <protection locked="0"/>
    </xf>
    <xf numFmtId="0" fontId="60" fillId="26" borderId="11" xfId="66" applyFont="1" applyFill="1" applyBorder="1" applyAlignment="1" applyProtection="1">
      <alignment horizontal="right" vertical="center"/>
      <protection locked="0"/>
    </xf>
    <xf numFmtId="0" fontId="61" fillId="26" borderId="11" xfId="66" applyFont="1" applyFill="1" applyBorder="1" applyAlignment="1">
      <alignment horizontal="right" vertical="center"/>
    </xf>
    <xf numFmtId="0" fontId="61" fillId="26" borderId="11" xfId="55" applyFont="1" applyFill="1" applyBorder="1" applyAlignment="1">
      <alignment horizontal="right" vertical="center" wrapText="1"/>
    </xf>
    <xf numFmtId="0" fontId="66" fillId="26" borderId="11" xfId="66" applyFont="1" applyFill="1" applyBorder="1" applyProtection="1">
      <protection locked="0"/>
    </xf>
    <xf numFmtId="0" fontId="65" fillId="26" borderId="11" xfId="66" applyFont="1" applyFill="1" applyBorder="1" applyAlignment="1">
      <alignment horizontal="center" vertical="center"/>
    </xf>
    <xf numFmtId="167" fontId="60" fillId="26" borderId="11" xfId="66" applyNumberFormat="1" applyFont="1" applyFill="1" applyBorder="1"/>
    <xf numFmtId="167" fontId="61" fillId="26" borderId="11" xfId="66" applyNumberFormat="1" applyFont="1" applyFill="1" applyBorder="1" applyAlignment="1"/>
    <xf numFmtId="167" fontId="60" fillId="26" borderId="11" xfId="66" applyNumberFormat="1" applyFont="1" applyFill="1" applyBorder="1" applyAlignment="1"/>
    <xf numFmtId="167" fontId="55" fillId="26" borderId="11" xfId="66" applyNumberFormat="1" applyFont="1" applyFill="1" applyBorder="1" applyAlignment="1">
      <alignment horizontal="right" vertical="center"/>
    </xf>
    <xf numFmtId="0" fontId="66" fillId="26" borderId="11" xfId="66" applyFont="1" applyFill="1" applyBorder="1" applyAlignment="1" applyProtection="1">
      <alignment horizontal="right"/>
      <protection locked="0"/>
    </xf>
    <xf numFmtId="167" fontId="60" fillId="26" borderId="11" xfId="66" applyNumberFormat="1" applyFont="1" applyFill="1" applyBorder="1" applyAlignment="1">
      <alignment horizontal="right"/>
    </xf>
    <xf numFmtId="0" fontId="71" fillId="26" borderId="11" xfId="66" applyFont="1" applyFill="1" applyBorder="1" applyAlignment="1" applyProtection="1">
      <alignment horizontal="right"/>
      <protection locked="0"/>
    </xf>
    <xf numFmtId="0" fontId="61" fillId="26" borderId="11" xfId="66" applyFont="1" applyFill="1" applyBorder="1" applyAlignment="1" applyProtection="1">
      <alignment horizontal="right" vertical="center" wrapText="1"/>
      <protection locked="0"/>
    </xf>
    <xf numFmtId="3" fontId="61" fillId="26" borderId="11" xfId="66" applyNumberFormat="1" applyFont="1" applyFill="1" applyBorder="1" applyAlignment="1">
      <alignment horizontal="right" vertical="center"/>
    </xf>
    <xf numFmtId="3" fontId="61" fillId="26" borderId="12" xfId="66" applyNumberFormat="1" applyFont="1" applyFill="1" applyBorder="1" applyAlignment="1">
      <alignment horizontal="right" vertical="center"/>
    </xf>
    <xf numFmtId="0" fontId="63" fillId="26" borderId="11" xfId="66" applyFont="1" applyFill="1" applyBorder="1" applyProtection="1">
      <protection locked="0"/>
    </xf>
    <xf numFmtId="167" fontId="63" fillId="26" borderId="11" xfId="66" applyNumberFormat="1" applyFont="1" applyFill="1" applyBorder="1"/>
    <xf numFmtId="167" fontId="63" fillId="26" borderId="11" xfId="34" applyNumberFormat="1" applyFont="1" applyFill="1" applyBorder="1" applyAlignment="1">
      <alignment horizontal="center" vertical="center" wrapText="1"/>
    </xf>
    <xf numFmtId="0" fontId="64" fillId="26" borderId="11" xfId="66" applyFont="1" applyFill="1" applyBorder="1" applyProtection="1">
      <protection locked="0"/>
    </xf>
    <xf numFmtId="3" fontId="80" fillId="26" borderId="11" xfId="66" applyNumberFormat="1" applyFont="1" applyFill="1" applyBorder="1" applyProtection="1">
      <protection locked="0"/>
    </xf>
    <xf numFmtId="3" fontId="82" fillId="26" borderId="11" xfId="66" applyNumberFormat="1" applyFont="1" applyFill="1" applyBorder="1" applyProtection="1">
      <protection locked="0"/>
    </xf>
    <xf numFmtId="0" fontId="81" fillId="26" borderId="11" xfId="66" applyFont="1" applyFill="1" applyBorder="1" applyProtection="1">
      <protection locked="0"/>
    </xf>
    <xf numFmtId="3" fontId="64" fillId="26" borderId="11" xfId="66" applyNumberFormat="1" applyFont="1" applyFill="1" applyBorder="1" applyProtection="1">
      <protection locked="0"/>
    </xf>
    <xf numFmtId="3" fontId="63" fillId="26" borderId="11" xfId="66" applyNumberFormat="1" applyFont="1" applyFill="1" applyBorder="1" applyProtection="1">
      <protection locked="0"/>
    </xf>
    <xf numFmtId="167" fontId="64" fillId="26" borderId="16" xfId="66" applyNumberFormat="1" applyFont="1" applyFill="1" applyBorder="1" applyProtection="1">
      <protection locked="0"/>
    </xf>
    <xf numFmtId="167" fontId="63" fillId="26" borderId="16" xfId="34" applyNumberFormat="1" applyFont="1" applyFill="1" applyBorder="1" applyProtection="1">
      <protection locked="0"/>
    </xf>
    <xf numFmtId="0" fontId="63" fillId="26" borderId="17" xfId="66" applyFont="1" applyFill="1" applyBorder="1" applyProtection="1">
      <protection locked="0"/>
    </xf>
    <xf numFmtId="0" fontId="59" fillId="26" borderId="0" xfId="66" applyFont="1" applyFill="1" applyProtection="1">
      <protection locked="0"/>
    </xf>
    <xf numFmtId="0" fontId="7" fillId="26" borderId="11" xfId="60" applyFont="1" applyFill="1" applyBorder="1" applyAlignment="1" applyProtection="1">
      <alignment horizontal="left" vertical="center"/>
      <protection locked="0"/>
    </xf>
    <xf numFmtId="0" fontId="7" fillId="26" borderId="11" xfId="59" applyFont="1" applyFill="1" applyBorder="1" applyAlignment="1" applyProtection="1">
      <alignment horizontal="left" vertical="center"/>
      <protection locked="0"/>
    </xf>
    <xf numFmtId="0" fontId="7" fillId="26" borderId="11" xfId="61" applyFont="1" applyFill="1" applyBorder="1" applyAlignment="1" applyProtection="1">
      <alignment horizontal="left" vertical="center"/>
      <protection locked="0"/>
    </xf>
    <xf numFmtId="0" fontId="7" fillId="0" borderId="11" xfId="61" quotePrefix="1" applyFont="1" applyFill="1" applyBorder="1" applyAlignment="1" applyProtection="1">
      <alignment horizontal="left" vertical="center"/>
      <protection locked="0"/>
    </xf>
    <xf numFmtId="0" fontId="41" fillId="0" borderId="11" xfId="66" applyFont="1" applyBorder="1" applyAlignment="1">
      <alignment horizontal="center"/>
    </xf>
    <xf numFmtId="0" fontId="42" fillId="26" borderId="11" xfId="66" applyFont="1" applyFill="1" applyBorder="1" applyAlignment="1" applyProtection="1">
      <alignment horizontal="left"/>
      <protection locked="0"/>
    </xf>
    <xf numFmtId="167" fontId="42" fillId="24" borderId="11" xfId="34" applyNumberFormat="1" applyFont="1" applyFill="1" applyBorder="1" applyProtection="1">
      <protection locked="0"/>
    </xf>
    <xf numFmtId="167" fontId="42" fillId="0" borderId="11" xfId="66" applyNumberFormat="1" applyFont="1" applyFill="1" applyBorder="1" applyAlignment="1" applyProtection="1">
      <alignment horizontal="right"/>
      <protection locked="0"/>
    </xf>
    <xf numFmtId="0" fontId="7" fillId="0" borderId="0" xfId="0" applyFont="1"/>
    <xf numFmtId="167" fontId="7" fillId="0" borderId="11" xfId="0" applyNumberFormat="1" applyFont="1" applyBorder="1"/>
    <xf numFmtId="0" fontId="7" fillId="26" borderId="11" xfId="66" applyFont="1" applyFill="1" applyBorder="1" applyAlignment="1" applyProtection="1">
      <alignment horizontal="left"/>
      <protection locked="0"/>
    </xf>
    <xf numFmtId="167" fontId="7" fillId="0" borderId="11" xfId="34" applyNumberFormat="1" applyFont="1" applyFill="1" applyBorder="1" applyAlignment="1" applyProtection="1">
      <alignment horizontal="center"/>
      <protection locked="0"/>
    </xf>
    <xf numFmtId="0" fontId="42" fillId="0" borderId="11" xfId="66" applyFont="1" applyFill="1" applyBorder="1" applyProtection="1">
      <protection locked="0"/>
    </xf>
    <xf numFmtId="0" fontId="7" fillId="0" borderId="11" xfId="0" applyFont="1" applyBorder="1"/>
    <xf numFmtId="164" fontId="7" fillId="0" borderId="11" xfId="0" applyNumberFormat="1" applyFont="1" applyBorder="1"/>
    <xf numFmtId="0" fontId="5" fillId="0" borderId="11" xfId="0" applyFont="1" applyBorder="1"/>
    <xf numFmtId="167" fontId="5" fillId="0" borderId="11" xfId="0" applyNumberFormat="1" applyFont="1" applyBorder="1"/>
    <xf numFmtId="0" fontId="5" fillId="0" borderId="0" xfId="0" applyFont="1"/>
    <xf numFmtId="167" fontId="83" fillId="0" borderId="11" xfId="0" applyNumberFormat="1" applyFont="1" applyBorder="1"/>
    <xf numFmtId="1" fontId="7" fillId="0" borderId="0" xfId="0" applyNumberFormat="1" applyFont="1"/>
    <xf numFmtId="0" fontId="5" fillId="26" borderId="0" xfId="0" applyFont="1" applyFill="1"/>
    <xf numFmtId="167" fontId="5" fillId="26" borderId="0" xfId="0" applyNumberFormat="1" applyFont="1" applyFill="1"/>
    <xf numFmtId="1" fontId="5" fillId="26" borderId="0" xfId="0" applyNumberFormat="1" applyFont="1" applyFill="1"/>
    <xf numFmtId="0" fontId="7" fillId="26" borderId="0" xfId="0" applyFont="1" applyFill="1"/>
    <xf numFmtId="0" fontId="7" fillId="0" borderId="0" xfId="0" applyFont="1" applyAlignment="1">
      <alignment horizontal="center"/>
    </xf>
    <xf numFmtId="1" fontId="5" fillId="0" borderId="0" xfId="0" applyNumberFormat="1" applyFont="1"/>
    <xf numFmtId="0" fontId="7" fillId="0" borderId="0" xfId="62" applyFont="1" applyFill="1" applyProtection="1">
      <protection locked="0"/>
    </xf>
    <xf numFmtId="0" fontId="5" fillId="0" borderId="11" xfId="62" applyFont="1" applyFill="1" applyBorder="1" applyAlignment="1" applyProtection="1">
      <alignment horizontal="center" vertical="center" wrapText="1"/>
      <protection locked="0"/>
    </xf>
    <xf numFmtId="0" fontId="5" fillId="0" borderId="11" xfId="62" applyFont="1" applyFill="1" applyBorder="1" applyAlignment="1" applyProtection="1">
      <alignment horizontal="center" vertical="center"/>
      <protection locked="0"/>
    </xf>
    <xf numFmtId="0" fontId="5" fillId="0" borderId="11" xfId="62" applyFont="1" applyFill="1" applyBorder="1" applyAlignment="1" applyProtection="1">
      <alignment vertical="center"/>
      <protection locked="0"/>
    </xf>
    <xf numFmtId="0" fontId="5" fillId="0" borderId="0" xfId="62" applyFont="1" applyFill="1" applyAlignment="1" applyProtection="1">
      <alignment vertical="center"/>
      <protection locked="0"/>
    </xf>
    <xf numFmtId="0" fontId="7" fillId="0" borderId="11" xfId="62" applyFont="1" applyFill="1" applyBorder="1" applyAlignment="1" applyProtection="1">
      <alignment horizontal="center" vertical="center"/>
      <protection locked="0"/>
    </xf>
    <xf numFmtId="0" fontId="7" fillId="0" borderId="11" xfId="62" applyFont="1" applyFill="1" applyBorder="1" applyAlignment="1" applyProtection="1">
      <alignment vertical="center"/>
      <protection locked="0"/>
    </xf>
    <xf numFmtId="0" fontId="7" fillId="0" borderId="11" xfId="62" applyFont="1" applyFill="1" applyBorder="1" applyAlignment="1" applyProtection="1">
      <alignment vertical="center" wrapText="1"/>
      <protection locked="0"/>
    </xf>
    <xf numFmtId="0" fontId="7" fillId="0" borderId="11" xfId="62" applyFont="1" applyFill="1" applyBorder="1" applyAlignment="1">
      <alignment horizontal="right" vertical="center" wrapText="1"/>
    </xf>
    <xf numFmtId="167" fontId="7" fillId="0" borderId="11" xfId="34" applyNumberFormat="1" applyFont="1" applyFill="1" applyBorder="1" applyAlignment="1" applyProtection="1">
      <alignment horizontal="right" vertical="center"/>
      <protection locked="0"/>
    </xf>
    <xf numFmtId="0" fontId="7" fillId="0" borderId="0" xfId="62" applyFont="1" applyFill="1" applyAlignment="1" applyProtection="1">
      <alignment vertical="center"/>
      <protection locked="0"/>
    </xf>
    <xf numFmtId="167" fontId="5" fillId="0" borderId="0" xfId="62" applyNumberFormat="1" applyFont="1" applyFill="1" applyAlignment="1" applyProtection="1">
      <alignment vertical="center"/>
      <protection locked="0"/>
    </xf>
    <xf numFmtId="0" fontId="7" fillId="0" borderId="0" xfId="62" applyFont="1" applyFill="1" applyBorder="1" applyAlignment="1">
      <alignment vertical="center"/>
    </xf>
    <xf numFmtId="0" fontId="7" fillId="0" borderId="0" xfId="62" applyFont="1" applyFill="1" applyBorder="1" applyAlignment="1" applyProtection="1">
      <alignment vertical="center"/>
      <protection locked="0"/>
    </xf>
    <xf numFmtId="0" fontId="7" fillId="0" borderId="11" xfId="62" applyFont="1" applyFill="1" applyBorder="1" applyAlignment="1" applyProtection="1">
      <alignment horizontal="left" vertical="center"/>
      <protection locked="0"/>
    </xf>
    <xf numFmtId="167" fontId="7" fillId="0" borderId="0" xfId="62" applyNumberFormat="1" applyFont="1" applyFill="1" applyBorder="1" applyAlignment="1" applyProtection="1">
      <alignment vertical="center"/>
      <protection locked="0"/>
    </xf>
    <xf numFmtId="0" fontId="5" fillId="0" borderId="0" xfId="62" applyFont="1" applyFill="1" applyBorder="1" applyAlignment="1">
      <alignment vertical="center"/>
    </xf>
    <xf numFmtId="0" fontId="7" fillId="0" borderId="0" xfId="62" applyFont="1" applyFill="1" applyBorder="1" applyAlignment="1">
      <alignment horizontal="center" vertical="center" wrapText="1"/>
    </xf>
    <xf numFmtId="167" fontId="7" fillId="0" borderId="0" xfId="34" applyNumberFormat="1" applyFont="1" applyFill="1" applyBorder="1" applyAlignment="1">
      <alignment vertical="center"/>
    </xf>
    <xf numFmtId="167" fontId="5" fillId="0" borderId="0" xfId="34" applyNumberFormat="1" applyFont="1" applyFill="1" applyBorder="1" applyAlignment="1">
      <alignment horizontal="right" vertical="center"/>
    </xf>
    <xf numFmtId="0" fontId="7" fillId="0" borderId="11" xfId="62" applyFont="1" applyFill="1" applyBorder="1" applyAlignment="1" applyProtection="1">
      <alignment horizontal="left" vertical="center" indent="3"/>
      <protection locked="0"/>
    </xf>
    <xf numFmtId="0" fontId="7" fillId="0" borderId="11" xfId="62" quotePrefix="1" applyFont="1" applyFill="1" applyBorder="1" applyAlignment="1" applyProtection="1">
      <alignment horizontal="left" vertical="center" indent="3"/>
      <protection locked="0"/>
    </xf>
    <xf numFmtId="0" fontId="7" fillId="0" borderId="11" xfId="62" applyFont="1" applyFill="1" applyBorder="1" applyAlignment="1" applyProtection="1">
      <alignment horizontal="left" vertical="center" wrapText="1"/>
      <protection locked="0"/>
    </xf>
    <xf numFmtId="0" fontId="7" fillId="0" borderId="11" xfId="62" applyFont="1" applyFill="1" applyBorder="1" applyAlignment="1" applyProtection="1">
      <alignment horizontal="center" vertical="center" wrapText="1"/>
      <protection locked="0"/>
    </xf>
    <xf numFmtId="0" fontId="7" fillId="0" borderId="11" xfId="62" applyFont="1" applyFill="1" applyBorder="1" applyAlignment="1" applyProtection="1">
      <alignment horizontal="left" vertical="center" indent="5"/>
      <protection locked="0"/>
    </xf>
    <xf numFmtId="0" fontId="7" fillId="0" borderId="11" xfId="62" applyFont="1" applyFill="1" applyBorder="1" applyAlignment="1">
      <alignment vertical="center"/>
    </xf>
    <xf numFmtId="0" fontId="5" fillId="0" borderId="11" xfId="62" applyFont="1" applyFill="1" applyBorder="1" applyAlignment="1" applyProtection="1">
      <alignment horizontal="right" vertical="center"/>
      <protection locked="0"/>
    </xf>
    <xf numFmtId="0" fontId="5" fillId="0" borderId="11" xfId="62" applyFont="1" applyFill="1" applyBorder="1" applyAlignment="1" applyProtection="1">
      <alignment horizontal="left" vertical="center"/>
      <protection locked="0"/>
    </xf>
    <xf numFmtId="0" fontId="7" fillId="0" borderId="0" xfId="62" applyFont="1" applyFill="1" applyAlignment="1" applyProtection="1">
      <alignment horizontal="center"/>
      <protection locked="0"/>
    </xf>
    <xf numFmtId="167" fontId="7" fillId="0" borderId="0" xfId="62" applyNumberFormat="1" applyFont="1" applyFill="1" applyProtection="1">
      <protection locked="0"/>
    </xf>
    <xf numFmtId="0" fontId="84" fillId="0" borderId="0" xfId="0" applyFont="1" applyBorder="1" applyAlignment="1">
      <alignment horizontal="center" vertical="top" wrapText="1"/>
    </xf>
    <xf numFmtId="3" fontId="84" fillId="0" borderId="0" xfId="0" applyNumberFormat="1" applyFont="1" applyBorder="1" applyAlignment="1">
      <alignment horizontal="center" vertical="top" wrapText="1"/>
    </xf>
    <xf numFmtId="0" fontId="5" fillId="26" borderId="11" xfId="0" applyFont="1" applyFill="1" applyBorder="1" applyAlignment="1" applyProtection="1">
      <alignment vertical="center"/>
      <protection locked="0"/>
    </xf>
    <xf numFmtId="0" fontId="5" fillId="26" borderId="11" xfId="61" applyFont="1" applyFill="1" applyBorder="1" applyAlignment="1" applyProtection="1">
      <alignment horizontal="left" vertical="center" wrapText="1"/>
      <protection locked="0"/>
    </xf>
    <xf numFmtId="0" fontId="85" fillId="26" borderId="0" xfId="0" applyFont="1" applyFill="1" applyBorder="1" applyAlignment="1">
      <alignment horizontal="center" vertical="top" wrapText="1"/>
    </xf>
    <xf numFmtId="167" fontId="5" fillId="0" borderId="0" xfId="34" applyNumberFormat="1" applyFont="1"/>
    <xf numFmtId="3" fontId="85" fillId="26" borderId="0" xfId="0" applyNumberFormat="1" applyFont="1" applyFill="1" applyBorder="1" applyAlignment="1">
      <alignment horizontal="center" wrapText="1"/>
    </xf>
    <xf numFmtId="0" fontId="59" fillId="0" borderId="0" xfId="66" applyFont="1" applyFill="1" applyBorder="1" applyAlignment="1" applyProtection="1">
      <alignment horizontal="center"/>
      <protection locked="0"/>
    </xf>
    <xf numFmtId="167" fontId="7" fillId="0" borderId="0" xfId="0" applyNumberFormat="1" applyFont="1" applyAlignment="1">
      <alignment horizontal="center"/>
    </xf>
    <xf numFmtId="167" fontId="59" fillId="0" borderId="0" xfId="66" applyNumberFormat="1" applyFont="1" applyFill="1" applyBorder="1" applyAlignment="1" applyProtection="1">
      <alignment horizontal="right"/>
      <protection locked="0"/>
    </xf>
    <xf numFmtId="177" fontId="51" fillId="0" borderId="11" xfId="34" applyNumberFormat="1" applyFont="1" applyFill="1" applyBorder="1" applyAlignment="1" applyProtection="1">
      <alignment vertical="center"/>
      <protection locked="0"/>
    </xf>
    <xf numFmtId="43" fontId="51" fillId="0" borderId="11" xfId="34" applyNumberFormat="1" applyFont="1" applyFill="1" applyBorder="1" applyAlignment="1" applyProtection="1">
      <alignment vertical="center"/>
      <protection locked="0"/>
    </xf>
    <xf numFmtId="0" fontId="51" fillId="0" borderId="0" xfId="61" applyFont="1" applyFill="1" applyAlignment="1">
      <alignment vertical="center"/>
    </xf>
    <xf numFmtId="0" fontId="51" fillId="0" borderId="11" xfId="59" applyFont="1" applyFill="1" applyBorder="1" applyAlignment="1" applyProtection="1">
      <alignment horizontal="center" vertical="center"/>
      <protection locked="0"/>
    </xf>
    <xf numFmtId="0" fontId="51" fillId="0" borderId="11" xfId="59" applyFont="1" applyFill="1" applyBorder="1" applyAlignment="1" applyProtection="1">
      <alignment vertical="center"/>
      <protection locked="0"/>
    </xf>
    <xf numFmtId="0" fontId="51" fillId="0" borderId="0" xfId="59" applyFont="1" applyFill="1" applyAlignment="1" applyProtection="1">
      <alignment vertical="center"/>
      <protection locked="0"/>
    </xf>
    <xf numFmtId="0" fontId="86" fillId="0" borderId="0" xfId="59" applyFont="1" applyFill="1" applyAlignment="1" applyProtection="1">
      <alignment vertical="center"/>
      <protection locked="0"/>
    </xf>
    <xf numFmtId="0" fontId="51" fillId="0" borderId="11" xfId="60" applyFont="1" applyFill="1" applyBorder="1" applyAlignment="1" applyProtection="1">
      <alignment horizontal="center" vertical="center"/>
      <protection locked="0"/>
    </xf>
    <xf numFmtId="0" fontId="51" fillId="0" borderId="11" xfId="60" applyFont="1" applyFill="1" applyBorder="1" applyAlignment="1" applyProtection="1">
      <alignment vertical="center"/>
      <protection locked="0"/>
    </xf>
    <xf numFmtId="0" fontId="86" fillId="0" borderId="0" xfId="60" applyFont="1" applyFill="1" applyAlignment="1" applyProtection="1">
      <alignment vertical="center"/>
      <protection locked="0"/>
    </xf>
    <xf numFmtId="167" fontId="51" fillId="0" borderId="11" xfId="34" applyNumberFormat="1" applyFont="1" applyFill="1" applyBorder="1" applyAlignment="1" applyProtection="1">
      <alignment horizontal="center" vertical="center"/>
      <protection locked="0"/>
    </xf>
    <xf numFmtId="0" fontId="86" fillId="0" borderId="0" xfId="0" applyFont="1" applyFill="1" applyAlignment="1" applyProtection="1">
      <alignment vertical="center"/>
      <protection locked="0"/>
    </xf>
    <xf numFmtId="167" fontId="87" fillId="0" borderId="11" xfId="59" applyNumberFormat="1" applyFont="1" applyFill="1" applyBorder="1" applyAlignment="1">
      <alignment vertical="center"/>
    </xf>
    <xf numFmtId="164" fontId="7" fillId="0" borderId="0" xfId="60" applyNumberFormat="1" applyFont="1" applyFill="1" applyAlignment="1" applyProtection="1">
      <alignment vertical="center"/>
      <protection locked="0"/>
    </xf>
    <xf numFmtId="0" fontId="7" fillId="0" borderId="11" xfId="60" applyFont="1" applyFill="1" applyBorder="1" applyProtection="1">
      <protection locked="0"/>
    </xf>
    <xf numFmtId="0" fontId="7" fillId="0" borderId="11" xfId="60" applyFont="1" applyFill="1" applyBorder="1" applyAlignment="1" applyProtection="1">
      <alignment horizontal="center"/>
      <protection locked="0"/>
    </xf>
    <xf numFmtId="1" fontId="7" fillId="0" borderId="11" xfId="60" applyNumberFormat="1" applyFont="1" applyFill="1" applyBorder="1" applyProtection="1">
      <protection locked="0"/>
    </xf>
    <xf numFmtId="177" fontId="7" fillId="0" borderId="0" xfId="34" applyNumberFormat="1" applyFont="1" applyFill="1" applyBorder="1" applyAlignment="1" applyProtection="1">
      <alignment vertical="center"/>
      <protection locked="0"/>
    </xf>
    <xf numFmtId="167" fontId="7" fillId="0" borderId="0" xfId="0" applyNumberFormat="1" applyFont="1"/>
    <xf numFmtId="0" fontId="7" fillId="26" borderId="11" xfId="60" applyFont="1" applyFill="1" applyBorder="1" applyProtection="1">
      <protection locked="0"/>
    </xf>
    <xf numFmtId="0" fontId="52" fillId="0" borderId="11" xfId="58" applyFont="1" applyFill="1" applyBorder="1" applyAlignment="1" applyProtection="1">
      <alignment horizontal="center" vertical="center"/>
      <protection locked="0"/>
    </xf>
    <xf numFmtId="0" fontId="52" fillId="0" borderId="11" xfId="58" applyFont="1" applyFill="1" applyBorder="1" applyAlignment="1" applyProtection="1">
      <alignment horizontal="left" vertical="center" wrapText="1"/>
      <protection locked="0"/>
    </xf>
    <xf numFmtId="0" fontId="52" fillId="0" borderId="11" xfId="58" applyFont="1" applyFill="1" applyBorder="1" applyAlignment="1" applyProtection="1">
      <alignment horizontal="left" vertical="center"/>
      <protection locked="0"/>
    </xf>
    <xf numFmtId="0" fontId="52" fillId="0" borderId="0" xfId="58" applyFont="1" applyFill="1"/>
    <xf numFmtId="0" fontId="5" fillId="0" borderId="0" xfId="0" applyFont="1" applyFill="1" applyAlignment="1">
      <alignment horizontal="center" wrapText="1"/>
    </xf>
    <xf numFmtId="0" fontId="7" fillId="0" borderId="11" xfId="0" applyFont="1" applyFill="1" applyBorder="1"/>
    <xf numFmtId="0" fontId="103" fillId="0" borderId="28" xfId="0" applyFont="1" applyFill="1" applyBorder="1" applyAlignment="1">
      <alignment wrapText="1"/>
    </xf>
    <xf numFmtId="0" fontId="0" fillId="0" borderId="0" xfId="0" applyFont="1"/>
    <xf numFmtId="0" fontId="106" fillId="0" borderId="0" xfId="0" applyFont="1"/>
    <xf numFmtId="0" fontId="47" fillId="0" borderId="30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wrapText="1"/>
    </xf>
    <xf numFmtId="0" fontId="4" fillId="27" borderId="11" xfId="0" applyFont="1" applyFill="1" applyBorder="1" applyAlignment="1">
      <alignment horizontal="center" vertical="center"/>
    </xf>
    <xf numFmtId="0" fontId="4" fillId="27" borderId="0" xfId="0" applyFont="1" applyFill="1" applyBorder="1" applyAlignment="1">
      <alignment vertical="center"/>
    </xf>
    <xf numFmtId="0" fontId="4" fillId="27" borderId="19" xfId="0" applyFont="1" applyFill="1" applyBorder="1" applyAlignment="1">
      <alignment vertical="center"/>
    </xf>
    <xf numFmtId="0" fontId="4" fillId="27" borderId="20" xfId="0" applyFont="1" applyFill="1" applyBorder="1" applyAlignment="1">
      <alignment vertical="center"/>
    </xf>
    <xf numFmtId="0" fontId="6" fillId="27" borderId="11" xfId="0" applyFont="1" applyFill="1" applyBorder="1" applyAlignment="1">
      <alignment horizontal="center" vertical="center"/>
    </xf>
    <xf numFmtId="0" fontId="6" fillId="27" borderId="0" xfId="0" applyFont="1" applyFill="1" applyBorder="1" applyAlignment="1">
      <alignment vertical="center"/>
    </xf>
    <xf numFmtId="0" fontId="7" fillId="27" borderId="11" xfId="0" applyFont="1" applyFill="1" applyBorder="1" applyAlignment="1">
      <alignment horizontal="center" vertical="center" wrapText="1"/>
    </xf>
    <xf numFmtId="0" fontId="7" fillId="27" borderId="0" xfId="0" applyFont="1" applyFill="1" applyBorder="1" applyAlignment="1">
      <alignment horizontal="center" vertical="center"/>
    </xf>
    <xf numFmtId="0" fontId="7" fillId="27" borderId="0" xfId="0" applyFont="1" applyFill="1" applyAlignment="1">
      <alignment horizontal="center" vertical="center"/>
    </xf>
    <xf numFmtId="0" fontId="4" fillId="27" borderId="11" xfId="0" applyFont="1" applyFill="1" applyBorder="1" applyAlignment="1">
      <alignment vertical="center"/>
    </xf>
    <xf numFmtId="0" fontId="30" fillId="27" borderId="11" xfId="0" applyFont="1" applyFill="1" applyBorder="1" applyAlignment="1">
      <alignment vertical="center" wrapText="1"/>
    </xf>
    <xf numFmtId="0" fontId="30" fillId="27" borderId="30" xfId="0" applyFont="1" applyFill="1" applyBorder="1" applyAlignment="1">
      <alignment horizontal="left" vertical="center" wrapText="1"/>
    </xf>
    <xf numFmtId="0" fontId="30" fillId="27" borderId="9" xfId="0" applyFont="1" applyFill="1" applyBorder="1" applyAlignment="1">
      <alignment horizontal="center" vertical="center"/>
    </xf>
    <xf numFmtId="0" fontId="30" fillId="27" borderId="11" xfId="0" applyFont="1" applyFill="1" applyBorder="1" applyAlignment="1">
      <alignment horizontal="center" vertical="center" wrapText="1"/>
    </xf>
    <xf numFmtId="0" fontId="30" fillId="27" borderId="11" xfId="0" applyFont="1" applyFill="1" applyBorder="1" applyAlignment="1">
      <alignment horizontal="center" vertical="center"/>
    </xf>
    <xf numFmtId="0" fontId="4" fillId="28" borderId="0" xfId="0" applyFont="1" applyFill="1" applyBorder="1" applyAlignment="1">
      <alignment vertical="center"/>
    </xf>
    <xf numFmtId="0" fontId="4" fillId="28" borderId="20" xfId="0" applyFont="1" applyFill="1" applyBorder="1" applyAlignment="1">
      <alignment vertical="center"/>
    </xf>
    <xf numFmtId="0" fontId="6" fillId="28" borderId="0" xfId="0" applyFont="1" applyFill="1" applyBorder="1" applyAlignment="1">
      <alignment vertical="center"/>
    </xf>
    <xf numFmtId="0" fontId="4" fillId="27" borderId="12" xfId="0" applyFont="1" applyFill="1" applyBorder="1" applyAlignment="1">
      <alignment horizontal="center" vertical="center"/>
    </xf>
    <xf numFmtId="2" fontId="4" fillId="27" borderId="11" xfId="0" applyNumberFormat="1" applyFont="1" applyFill="1" applyBorder="1" applyAlignment="1">
      <alignment horizontal="center" vertical="center"/>
    </xf>
    <xf numFmtId="164" fontId="4" fillId="27" borderId="11" xfId="0" applyNumberFormat="1" applyFont="1" applyFill="1" applyBorder="1" applyAlignment="1">
      <alignment horizontal="center" vertical="center"/>
    </xf>
    <xf numFmtId="0" fontId="85" fillId="27" borderId="0" xfId="0" applyFont="1" applyFill="1" applyBorder="1" applyAlignment="1">
      <alignment horizontal="center" vertical="center" wrapText="1"/>
    </xf>
    <xf numFmtId="0" fontId="85" fillId="27" borderId="0" xfId="0" applyFont="1" applyFill="1" applyBorder="1" applyAlignment="1">
      <alignment horizontal="center" vertical="center" wrapText="1"/>
    </xf>
    <xf numFmtId="0" fontId="7" fillId="27" borderId="0" xfId="0" applyFont="1" applyFill="1" applyBorder="1" applyAlignment="1">
      <alignment vertical="center"/>
    </xf>
    <xf numFmtId="0" fontId="7" fillId="27" borderId="0" xfId="0" applyFont="1" applyFill="1" applyBorder="1"/>
    <xf numFmtId="0" fontId="7" fillId="27" borderId="0" xfId="0" applyFont="1" applyFill="1"/>
    <xf numFmtId="0" fontId="27" fillId="27" borderId="0" xfId="0" applyFont="1" applyFill="1" applyBorder="1" applyAlignment="1">
      <alignment horizontal="center" wrapText="1"/>
    </xf>
    <xf numFmtId="0" fontId="85" fillId="27" borderId="0" xfId="0" applyFont="1" applyFill="1" applyBorder="1" applyAlignment="1">
      <alignment horizontal="center" wrapText="1"/>
    </xf>
    <xf numFmtId="0" fontId="6" fillId="27" borderId="11" xfId="0" applyFont="1" applyFill="1" applyBorder="1" applyAlignment="1">
      <alignment horizontal="center" vertical="center"/>
    </xf>
    <xf numFmtId="0" fontId="5" fillId="27" borderId="0" xfId="0" applyFont="1" applyFill="1" applyBorder="1" applyAlignment="1">
      <alignment horizontal="center" vertical="center"/>
    </xf>
    <xf numFmtId="0" fontId="5" fillId="27" borderId="0" xfId="0" applyFont="1" applyFill="1" applyBorder="1"/>
    <xf numFmtId="0" fontId="5" fillId="27" borderId="0" xfId="0" applyFont="1" applyFill="1"/>
    <xf numFmtId="0" fontId="27" fillId="27" borderId="30" xfId="0" applyFont="1" applyFill="1" applyBorder="1" applyAlignment="1">
      <alignment horizontal="left" vertical="center"/>
    </xf>
    <xf numFmtId="0" fontId="4" fillId="27" borderId="0" xfId="0" applyFont="1" applyFill="1" applyAlignment="1">
      <alignment vertical="center"/>
    </xf>
    <xf numFmtId="0" fontId="27" fillId="27" borderId="11" xfId="0" applyFont="1" applyFill="1" applyBorder="1" applyAlignment="1">
      <alignment horizontal="center" vertical="center"/>
    </xf>
    <xf numFmtId="0" fontId="27" fillId="27" borderId="30" xfId="0" applyFont="1" applyFill="1" applyBorder="1" applyAlignment="1">
      <alignment horizontal="left" vertical="center" wrapText="1"/>
    </xf>
    <xf numFmtId="0" fontId="27" fillId="27" borderId="9" xfId="0" applyFont="1" applyFill="1" applyBorder="1" applyAlignment="1">
      <alignment horizontal="center" vertical="center"/>
    </xf>
    <xf numFmtId="0" fontId="6" fillId="27" borderId="11" xfId="0" applyFont="1" applyFill="1" applyBorder="1" applyAlignment="1">
      <alignment vertical="center"/>
    </xf>
    <xf numFmtId="0" fontId="6" fillId="27" borderId="0" xfId="0" applyFont="1" applyFill="1" applyAlignment="1">
      <alignment vertical="center"/>
    </xf>
    <xf numFmtId="0" fontId="4" fillId="27" borderId="21" xfId="0" applyFont="1" applyFill="1" applyBorder="1" applyAlignment="1">
      <alignment vertical="center"/>
    </xf>
    <xf numFmtId="0" fontId="6" fillId="27" borderId="20" xfId="0" applyFont="1" applyFill="1" applyBorder="1" applyAlignment="1">
      <alignment vertical="center"/>
    </xf>
    <xf numFmtId="0" fontId="27" fillId="27" borderId="11" xfId="0" applyFont="1" applyFill="1" applyBorder="1" applyAlignment="1">
      <alignment horizontal="left" vertical="center" wrapText="1"/>
    </xf>
    <xf numFmtId="0" fontId="27" fillId="27" borderId="11" xfId="0" applyFont="1" applyFill="1" applyBorder="1" applyAlignment="1">
      <alignment horizontal="center" vertical="center" wrapText="1"/>
    </xf>
    <xf numFmtId="0" fontId="7" fillId="27" borderId="20" xfId="0" applyFont="1" applyFill="1" applyBorder="1" applyAlignment="1">
      <alignment vertical="center"/>
    </xf>
    <xf numFmtId="0" fontId="6" fillId="27" borderId="0" xfId="0" applyFont="1" applyFill="1" applyBorder="1" applyAlignment="1">
      <alignment horizontal="center" vertical="center"/>
    </xf>
    <xf numFmtId="0" fontId="6" fillId="27" borderId="19" xfId="0" applyFont="1" applyFill="1" applyBorder="1" applyAlignment="1">
      <alignment vertical="center"/>
    </xf>
    <xf numFmtId="165" fontId="6" fillId="27" borderId="0" xfId="0" applyNumberFormat="1" applyFont="1" applyFill="1" applyBorder="1" applyAlignment="1">
      <alignment vertical="center"/>
    </xf>
    <xf numFmtId="0" fontId="107" fillId="27" borderId="0" xfId="0" applyFont="1" applyFill="1" applyBorder="1" applyAlignment="1">
      <alignment vertical="center"/>
    </xf>
    <xf numFmtId="0" fontId="30" fillId="27" borderId="11" xfId="0" applyFont="1" applyFill="1" applyBorder="1" applyAlignment="1">
      <alignment horizontal="left" vertical="center" wrapText="1"/>
    </xf>
    <xf numFmtId="0" fontId="30" fillId="27" borderId="0" xfId="0" applyFont="1" applyFill="1" applyBorder="1" applyAlignment="1">
      <alignment horizontal="center"/>
    </xf>
    <xf numFmtId="0" fontId="30" fillId="27" borderId="12" xfId="0" applyFont="1" applyFill="1" applyBorder="1" applyAlignment="1">
      <alignment horizontal="center"/>
    </xf>
    <xf numFmtId="0" fontId="30" fillId="27" borderId="11" xfId="0" applyFont="1" applyFill="1" applyBorder="1" applyAlignment="1">
      <alignment horizontal="center"/>
    </xf>
    <xf numFmtId="0" fontId="5" fillId="27" borderId="0" xfId="0" applyFont="1" applyFill="1" applyAlignment="1">
      <alignment horizontal="center" vertical="center"/>
    </xf>
    <xf numFmtId="0" fontId="6" fillId="28" borderId="20" xfId="0" applyFont="1" applyFill="1" applyBorder="1" applyAlignment="1">
      <alignment vertical="center"/>
    </xf>
    <xf numFmtId="0" fontId="6" fillId="27" borderId="11" xfId="0" applyFont="1" applyFill="1" applyBorder="1" applyAlignment="1">
      <alignment horizontal="center" vertical="center"/>
    </xf>
    <xf numFmtId="2" fontId="6" fillId="27" borderId="11" xfId="0" applyNumberFormat="1" applyFont="1" applyFill="1" applyBorder="1" applyAlignment="1">
      <alignment horizontal="center" vertical="center"/>
    </xf>
    <xf numFmtId="0" fontId="5" fillId="27" borderId="11" xfId="0" applyFont="1" applyFill="1" applyBorder="1" applyAlignment="1">
      <alignment vertical="center"/>
    </xf>
    <xf numFmtId="2" fontId="5" fillId="27" borderId="12" xfId="0" applyNumberFormat="1" applyFont="1" applyFill="1" applyBorder="1" applyAlignment="1">
      <alignment vertical="center"/>
    </xf>
    <xf numFmtId="0" fontId="28" fillId="0" borderId="0" xfId="0" applyFont="1"/>
    <xf numFmtId="0" fontId="4" fillId="0" borderId="31" xfId="94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24" borderId="11" xfId="94" applyNumberFormat="1" applyFont="1" applyFill="1" applyBorder="1" applyAlignment="1" applyProtection="1">
      <alignment horizontal="center" vertical="center"/>
    </xf>
    <xf numFmtId="0" fontId="7" fillId="24" borderId="9" xfId="94" applyNumberFormat="1" applyFont="1" applyFill="1" applyBorder="1" applyAlignment="1" applyProtection="1">
      <alignment horizontal="center" vertical="center"/>
    </xf>
    <xf numFmtId="0" fontId="7" fillId="0" borderId="11" xfId="0" applyNumberFormat="1" applyFont="1" applyBorder="1" applyAlignment="1">
      <alignment horizontal="center"/>
    </xf>
    <xf numFmtId="0" fontId="5" fillId="0" borderId="11" xfId="94" applyNumberFormat="1" applyFont="1" applyFill="1" applyBorder="1" applyAlignment="1">
      <alignment horizontal="center" vertical="center" wrapText="1"/>
    </xf>
    <xf numFmtId="0" fontId="7" fillId="0" borderId="11" xfId="94" applyNumberFormat="1" applyFont="1" applyFill="1" applyBorder="1" applyAlignment="1">
      <alignment horizontal="center" vertical="center" wrapText="1"/>
    </xf>
    <xf numFmtId="0" fontId="7" fillId="0" borderId="9" xfId="94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vertical="center" wrapText="1"/>
    </xf>
    <xf numFmtId="164" fontId="5" fillId="0" borderId="11" xfId="94" applyNumberFormat="1" applyFont="1" applyFill="1" applyBorder="1" applyAlignment="1">
      <alignment horizontal="center" vertical="center" wrapText="1"/>
    </xf>
    <xf numFmtId="165" fontId="5" fillId="0" borderId="11" xfId="94" applyNumberFormat="1" applyFont="1" applyFill="1" applyBorder="1" applyAlignment="1">
      <alignment horizontal="center" vertical="center" wrapText="1"/>
    </xf>
    <xf numFmtId="1" fontId="5" fillId="0" borderId="11" xfId="94" applyNumberFormat="1" applyFont="1" applyFill="1" applyBorder="1" applyAlignment="1">
      <alignment horizontal="center"/>
    </xf>
    <xf numFmtId="164" fontId="5" fillId="0" borderId="11" xfId="94" applyNumberFormat="1" applyFont="1" applyFill="1" applyBorder="1" applyAlignment="1">
      <alignment horizontal="center"/>
    </xf>
    <xf numFmtId="0" fontId="5" fillId="0" borderId="11" xfId="94" applyNumberFormat="1" applyFont="1" applyFill="1" applyBorder="1" applyAlignment="1">
      <alignment horizontal="center"/>
    </xf>
    <xf numFmtId="0" fontId="7" fillId="0" borderId="11" xfId="94" applyNumberFormat="1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6" fillId="0" borderId="0" xfId="0" applyFont="1"/>
    <xf numFmtId="0" fontId="6" fillId="0" borderId="0" xfId="94" applyNumberFormat="1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24" borderId="9" xfId="0" applyFont="1" applyFill="1" applyBorder="1" applyAlignment="1">
      <alignment horizontal="center"/>
    </xf>
    <xf numFmtId="0" fontId="7" fillId="24" borderId="30" xfId="0" applyFont="1" applyFill="1" applyBorder="1" applyAlignment="1">
      <alignment horizontal="center"/>
    </xf>
    <xf numFmtId="0" fontId="8" fillId="24" borderId="28" xfId="0" applyFont="1" applyFill="1" applyBorder="1" applyAlignment="1">
      <alignment horizontal="center"/>
    </xf>
    <xf numFmtId="0" fontId="7" fillId="24" borderId="13" xfId="0" applyFont="1" applyFill="1" applyBorder="1" applyAlignment="1">
      <alignment horizontal="center" vertical="center" wrapText="1"/>
    </xf>
    <xf numFmtId="0" fontId="7" fillId="24" borderId="12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27" fillId="27" borderId="9" xfId="0" applyFont="1" applyFill="1" applyBorder="1" applyAlignment="1">
      <alignment horizontal="left" vertical="center" wrapText="1"/>
    </xf>
    <xf numFmtId="0" fontId="27" fillId="27" borderId="4" xfId="0" applyFont="1" applyFill="1" applyBorder="1" applyAlignment="1">
      <alignment horizontal="left" vertical="center" wrapText="1"/>
    </xf>
    <xf numFmtId="0" fontId="30" fillId="27" borderId="11" xfId="0" applyFont="1" applyFill="1" applyBorder="1" applyAlignment="1">
      <alignment horizontal="center" vertical="center"/>
    </xf>
    <xf numFmtId="0" fontId="27" fillId="27" borderId="11" xfId="0" applyFont="1" applyFill="1" applyBorder="1" applyAlignment="1">
      <alignment horizontal="left" vertical="center" wrapText="1"/>
    </xf>
    <xf numFmtId="0" fontId="27" fillId="27" borderId="11" xfId="0" applyFont="1" applyFill="1" applyBorder="1" applyAlignment="1">
      <alignment horizontal="center" vertical="center" wrapText="1"/>
    </xf>
    <xf numFmtId="0" fontId="6" fillId="27" borderId="11" xfId="0" applyFont="1" applyFill="1" applyBorder="1" applyAlignment="1">
      <alignment horizontal="center" vertical="center"/>
    </xf>
    <xf numFmtId="0" fontId="6" fillId="27" borderId="9" xfId="0" applyFont="1" applyFill="1" applyBorder="1" applyAlignment="1">
      <alignment horizontal="center" vertical="center"/>
    </xf>
    <xf numFmtId="0" fontId="6" fillId="27" borderId="4" xfId="0" applyFont="1" applyFill="1" applyBorder="1" applyAlignment="1">
      <alignment horizontal="center" vertical="center"/>
    </xf>
    <xf numFmtId="0" fontId="6" fillId="27" borderId="30" xfId="0" applyFont="1" applyFill="1" applyBorder="1" applyAlignment="1">
      <alignment horizontal="center" vertical="center"/>
    </xf>
    <xf numFmtId="0" fontId="104" fillId="27" borderId="0" xfId="0" applyFont="1" applyFill="1" applyBorder="1" applyAlignment="1">
      <alignment horizontal="center" vertical="top" wrapText="1"/>
    </xf>
    <xf numFmtId="0" fontId="6" fillId="27" borderId="0" xfId="0" applyFont="1" applyFill="1" applyBorder="1" applyAlignment="1">
      <alignment horizontal="center" vertical="center" wrapText="1"/>
    </xf>
    <xf numFmtId="0" fontId="6" fillId="27" borderId="28" xfId="0" applyFont="1" applyFill="1" applyBorder="1" applyAlignment="1">
      <alignment horizontal="center" vertical="center"/>
    </xf>
    <xf numFmtId="0" fontId="105" fillId="27" borderId="0" xfId="0" applyFont="1" applyFill="1" applyBorder="1" applyAlignment="1">
      <alignment horizontal="center" vertical="center" wrapText="1"/>
    </xf>
    <xf numFmtId="0" fontId="27" fillId="27" borderId="11" xfId="0" applyFont="1" applyFill="1" applyBorder="1" applyAlignment="1">
      <alignment horizontal="center" vertical="center"/>
    </xf>
    <xf numFmtId="0" fontId="27" fillId="27" borderId="30" xfId="0" applyFont="1" applyFill="1" applyBorder="1" applyAlignment="1">
      <alignment horizontal="center" vertical="center"/>
    </xf>
    <xf numFmtId="0" fontId="5" fillId="27" borderId="13" xfId="0" applyFont="1" applyFill="1" applyBorder="1" applyAlignment="1">
      <alignment horizontal="center" vertical="center"/>
    </xf>
    <xf numFmtId="0" fontId="5" fillId="27" borderId="12" xfId="0" applyFont="1" applyFill="1" applyBorder="1" applyAlignment="1">
      <alignment horizontal="center" vertical="center"/>
    </xf>
    <xf numFmtId="0" fontId="6" fillId="27" borderId="11" xfId="0" applyFont="1" applyFill="1" applyBorder="1" applyAlignment="1">
      <alignment horizontal="center" vertical="center" wrapText="1"/>
    </xf>
    <xf numFmtId="164" fontId="7" fillId="0" borderId="13" xfId="94" applyNumberFormat="1" applyFont="1" applyFill="1" applyBorder="1" applyAlignment="1">
      <alignment horizontal="center" vertical="center"/>
    </xf>
    <xf numFmtId="164" fontId="7" fillId="0" borderId="12" xfId="94" applyNumberFormat="1" applyFont="1" applyFill="1" applyBorder="1" applyAlignment="1">
      <alignment horizontal="center" vertical="center"/>
    </xf>
    <xf numFmtId="164" fontId="7" fillId="0" borderId="13" xfId="94" applyNumberFormat="1" applyFont="1" applyFill="1" applyBorder="1" applyAlignment="1">
      <alignment horizontal="left" vertical="center"/>
    </xf>
    <xf numFmtId="164" fontId="7" fillId="0" borderId="12" xfId="94" applyNumberFormat="1" applyFont="1" applyFill="1" applyBorder="1" applyAlignment="1">
      <alignment horizontal="left" vertical="center"/>
    </xf>
    <xf numFmtId="0" fontId="85" fillId="0" borderId="0" xfId="0" applyFont="1" applyFill="1" applyAlignment="1">
      <alignment horizontal="center" vertical="center" wrapText="1"/>
    </xf>
    <xf numFmtId="0" fontId="104" fillId="0" borderId="0" xfId="0" applyFont="1" applyFill="1" applyAlignment="1">
      <alignment horizontal="center" wrapText="1"/>
    </xf>
    <xf numFmtId="0" fontId="103" fillId="0" borderId="28" xfId="0" applyFont="1" applyFill="1" applyBorder="1" applyAlignment="1">
      <alignment horizontal="center" wrapText="1"/>
    </xf>
    <xf numFmtId="0" fontId="27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94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11" xfId="6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7" fillId="0" borderId="31" xfId="0" applyFont="1" applyFill="1" applyBorder="1" applyAlignment="1" applyProtection="1">
      <alignment horizontal="center" vertical="center" wrapText="1"/>
      <protection locked="0"/>
    </xf>
    <xf numFmtId="0" fontId="5" fillId="0" borderId="2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right"/>
      <protection locked="0"/>
    </xf>
    <xf numFmtId="0" fontId="7" fillId="0" borderId="0" xfId="0" applyFont="1" applyFill="1" applyProtection="1"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28" xfId="61" applyFont="1" applyFill="1" applyBorder="1" applyAlignment="1" applyProtection="1">
      <alignment horizontal="center" vertical="center"/>
      <protection locked="0"/>
    </xf>
    <xf numFmtId="0" fontId="7" fillId="0" borderId="28" xfId="61" applyFont="1" applyFill="1" applyBorder="1" applyAlignment="1" applyProtection="1">
      <alignment horizontal="right"/>
      <protection locked="0"/>
    </xf>
    <xf numFmtId="0" fontId="5" fillId="0" borderId="11" xfId="59" applyFont="1" applyFill="1" applyBorder="1" applyAlignment="1" applyProtection="1">
      <alignment horizontal="center" vertical="center" wrapText="1"/>
      <protection locked="0"/>
    </xf>
    <xf numFmtId="0" fontId="5" fillId="0" borderId="28" xfId="59" applyFont="1" applyFill="1" applyBorder="1" applyAlignment="1" applyProtection="1">
      <alignment horizontal="center" vertical="center"/>
      <protection locked="0"/>
    </xf>
    <xf numFmtId="0" fontId="7" fillId="0" borderId="28" xfId="59" applyFont="1" applyFill="1" applyBorder="1" applyAlignment="1" applyProtection="1">
      <alignment horizontal="right"/>
      <protection locked="0"/>
    </xf>
    <xf numFmtId="0" fontId="42" fillId="0" borderId="0" xfId="59" applyFont="1" applyFill="1" applyProtection="1">
      <protection locked="0"/>
    </xf>
    <xf numFmtId="0" fontId="7" fillId="26" borderId="31" xfId="0" applyFont="1" applyFill="1" applyBorder="1" applyAlignment="1" applyProtection="1">
      <alignment horizontal="center" vertical="center" wrapText="1"/>
      <protection locked="0"/>
    </xf>
    <xf numFmtId="0" fontId="5" fillId="0" borderId="0" xfId="60" applyFont="1" applyFill="1" applyBorder="1" applyAlignment="1" applyProtection="1">
      <alignment horizontal="center" vertical="center"/>
      <protection locked="0"/>
    </xf>
    <xf numFmtId="0" fontId="5" fillId="0" borderId="11" xfId="60" applyFont="1" applyFill="1" applyBorder="1" applyAlignment="1" applyProtection="1">
      <alignment horizontal="center" vertical="center" wrapText="1"/>
      <protection locked="0"/>
    </xf>
    <xf numFmtId="0" fontId="7" fillId="24" borderId="0" xfId="60" applyFont="1" applyFill="1" applyProtection="1">
      <protection locked="0"/>
    </xf>
    <xf numFmtId="0" fontId="5" fillId="0" borderId="28" xfId="62" applyFont="1" applyFill="1" applyBorder="1" applyAlignment="1" applyProtection="1">
      <alignment horizontal="center" vertical="center"/>
      <protection locked="0"/>
    </xf>
    <xf numFmtId="0" fontId="5" fillId="0" borderId="11" xfId="62" applyFont="1" applyFill="1" applyBorder="1" applyAlignment="1" applyProtection="1">
      <alignment horizontal="center" vertical="center" wrapText="1"/>
      <protection locked="0"/>
    </xf>
    <xf numFmtId="0" fontId="7" fillId="0" borderId="0" xfId="62" applyFont="1" applyFill="1" applyBorder="1" applyAlignment="1">
      <alignment horizontal="center" vertical="center"/>
    </xf>
    <xf numFmtId="0" fontId="58" fillId="0" borderId="0" xfId="66" applyFont="1" applyBorder="1" applyAlignment="1">
      <alignment horizontal="center" vertical="center"/>
    </xf>
    <xf numFmtId="167" fontId="59" fillId="0" borderId="0" xfId="66" applyNumberFormat="1" applyFont="1" applyBorder="1" applyAlignment="1">
      <alignment horizontal="center" vertical="center" wrapText="1"/>
    </xf>
    <xf numFmtId="0" fontId="58" fillId="0" borderId="0" xfId="66" applyFont="1" applyFill="1" applyAlignment="1" applyProtection="1">
      <alignment horizontal="center"/>
      <protection locked="0"/>
    </xf>
    <xf numFmtId="0" fontId="58" fillId="0" borderId="28" xfId="66" applyFont="1" applyFill="1" applyBorder="1" applyAlignment="1" applyProtection="1">
      <alignment horizontal="center" vertical="center" wrapText="1"/>
      <protection locked="0"/>
    </xf>
    <xf numFmtId="0" fontId="60" fillId="0" borderId="11" xfId="66" applyFont="1" applyFill="1" applyBorder="1" applyAlignment="1" applyProtection="1">
      <alignment horizontal="center" vertical="center" wrapText="1"/>
      <protection locked="0"/>
    </xf>
    <xf numFmtId="0" fontId="60" fillId="0" borderId="9" xfId="66" applyFont="1" applyFill="1" applyBorder="1" applyAlignment="1" applyProtection="1">
      <alignment horizontal="center" vertical="center" wrapText="1"/>
      <protection locked="0"/>
    </xf>
    <xf numFmtId="0" fontId="60" fillId="0" borderId="4" xfId="66" applyFont="1" applyFill="1" applyBorder="1" applyAlignment="1" applyProtection="1">
      <alignment horizontal="center" vertical="center" wrapText="1"/>
      <protection locked="0"/>
    </xf>
    <xf numFmtId="0" fontId="60" fillId="0" borderId="30" xfId="66" applyFont="1" applyFill="1" applyBorder="1" applyAlignment="1" applyProtection="1">
      <alignment horizontal="center" vertical="center" wrapText="1"/>
      <protection locked="0"/>
    </xf>
    <xf numFmtId="0" fontId="60" fillId="0" borderId="9" xfId="66" applyFont="1" applyFill="1" applyBorder="1" applyAlignment="1" applyProtection="1">
      <alignment horizontal="center" vertical="center"/>
      <protection locked="0"/>
    </xf>
    <xf numFmtId="0" fontId="60" fillId="0" borderId="4" xfId="66" applyFont="1" applyFill="1" applyBorder="1" applyAlignment="1" applyProtection="1">
      <alignment horizontal="center" vertical="center"/>
      <protection locked="0"/>
    </xf>
    <xf numFmtId="0" fontId="60" fillId="0" borderId="30" xfId="66" applyFont="1" applyFill="1" applyBorder="1" applyAlignment="1" applyProtection="1">
      <alignment horizontal="center" vertical="center"/>
      <protection locked="0"/>
    </xf>
    <xf numFmtId="0" fontId="49" fillId="0" borderId="0" xfId="58" applyFont="1" applyFill="1" applyAlignment="1">
      <alignment horizontal="center" vertical="center" wrapText="1"/>
    </xf>
    <xf numFmtId="0" fontId="49" fillId="0" borderId="11" xfId="58" applyFont="1" applyFill="1" applyBorder="1" applyAlignment="1" applyProtection="1">
      <alignment horizontal="center" vertical="center" wrapText="1"/>
      <protection locked="0"/>
    </xf>
    <xf numFmtId="0" fontId="49" fillId="0" borderId="13" xfId="58" applyFont="1" applyFill="1" applyBorder="1" applyAlignment="1" applyProtection="1">
      <alignment horizontal="center" vertical="center" wrapText="1"/>
      <protection locked="0"/>
    </xf>
    <xf numFmtId="0" fontId="49" fillId="0" borderId="12" xfId="58" applyFont="1" applyFill="1" applyBorder="1" applyAlignment="1" applyProtection="1">
      <alignment horizontal="center" vertical="center" wrapText="1"/>
      <protection locked="0"/>
    </xf>
    <xf numFmtId="0" fontId="6" fillId="24" borderId="0" xfId="0" applyFont="1" applyFill="1" applyBorder="1" applyAlignment="1">
      <alignment horizontal="center"/>
    </xf>
    <xf numFmtId="0" fontId="32" fillId="24" borderId="0" xfId="0" applyFont="1" applyFill="1"/>
    <xf numFmtId="164" fontId="7" fillId="0" borderId="11" xfId="94" applyNumberFormat="1" applyFont="1" applyFill="1" applyBorder="1" applyAlignment="1">
      <alignment horizontal="center" vertical="center" wrapText="1"/>
    </xf>
  </cellXfs>
  <cellStyles count="9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eE­ [0]_INQUIRY ¿μ¾÷AßAø " xfId="25"/>
    <cellStyle name="AeE­_INQUIRY ¿µ¾÷AßAø " xfId="26"/>
    <cellStyle name="AÞ¸¶ [0]_INQUIRY ¿?¾÷AßAø " xfId="27"/>
    <cellStyle name="AÞ¸¶_INQUIRY ¿?¾÷AßAø " xfId="28"/>
    <cellStyle name="Bad" xfId="29" builtinId="27" customBuiltin="1"/>
    <cellStyle name="C?AØ_¿?¾÷CoE² " xfId="30"/>
    <cellStyle name="C￥AØ_¿μ¾÷CoE² " xfId="31"/>
    <cellStyle name="Calculation" xfId="32" builtinId="22" customBuiltin="1"/>
    <cellStyle name="Check Cell" xfId="33" builtinId="23" customBuiltin="1"/>
    <cellStyle name="Comma" xfId="34" builtinId="3"/>
    <cellStyle name="Comma 10 3" xfId="35"/>
    <cellStyle name="Comma 2" xfId="94"/>
    <cellStyle name="Comma0" xfId="36"/>
    <cellStyle name="Currency0" xfId="37"/>
    <cellStyle name="Date" xfId="38"/>
    <cellStyle name="Explanatory Text" xfId="39" builtinId="53" customBuiltin="1"/>
    <cellStyle name="Fixed" xfId="40"/>
    <cellStyle name="Good" xfId="41" builtinId="26" customBuiltin="1"/>
    <cellStyle name="Header1" xfId="42"/>
    <cellStyle name="Header2" xfId="43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customBuiltin="1"/>
    <cellStyle name="Input" xfId="48" builtinId="20" customBuiltin="1"/>
    <cellStyle name="Linked Cell" xfId="49" builtinId="24" customBuiltin="1"/>
    <cellStyle name="n" xfId="50"/>
    <cellStyle name="Neutral" xfId="51" builtinId="28" customBuiltin="1"/>
    <cellStyle name="Normal" xfId="0" builtinId="0"/>
    <cellStyle name="Normal - Style1" xfId="52"/>
    <cellStyle name="Normal 11 3 3" xfId="53"/>
    <cellStyle name="Normal 2" xfId="54"/>
    <cellStyle name="Normal_Biểu 4" xfId="55"/>
    <cellStyle name="Normal_Sheet1" xfId="56"/>
    <cellStyle name="Normal_Sheet2" xfId="57"/>
    <cellStyle name="Normal_Thanh lap truong-10-6" xfId="58"/>
    <cellStyle name="Normal_THCS_10-6" xfId="59"/>
    <cellStyle name="Normal_THPT_10-6" xfId="60"/>
    <cellStyle name="Normal_Tieu hoc 10-6" xfId="61"/>
    <cellStyle name="Normal_Trung tam Thuy sua 10.6" xfId="62"/>
    <cellStyle name="Note" xfId="63" builtinId="10" customBuiltin="1"/>
    <cellStyle name="Output" xfId="64" builtinId="21" customBuiltin="1"/>
    <cellStyle name="Percent" xfId="65" builtinId="5"/>
    <cellStyle name="Style 1" xfId="66"/>
    <cellStyle name="T" xfId="67"/>
    <cellStyle name="th" xfId="68"/>
    <cellStyle name="Title" xfId="69" builtinId="15" customBuiltin="1"/>
    <cellStyle name="Total" xfId="70" builtinId="25" customBuiltin="1"/>
    <cellStyle name="viet" xfId="71"/>
    <cellStyle name="viet2" xfId="72"/>
    <cellStyle name="Warning Text" xfId="73" builtinId="11" customBuiltin="1"/>
    <cellStyle name=" [0.00]_ Att. 1- Cover" xfId="74"/>
    <cellStyle name="_ Att. 1- Cover" xfId="75"/>
    <cellStyle name="?_ Att. 1- Cover" xfId="76"/>
    <cellStyle name="똿뗦먛귟 [0.00]_PRODUCT DETAIL Q1" xfId="77"/>
    <cellStyle name="똿뗦먛귟_PRODUCT DETAIL Q1" xfId="78"/>
    <cellStyle name="믅됞 [0.00]_PRODUCT DETAIL Q1" xfId="79"/>
    <cellStyle name="믅됞_PRODUCT DETAIL Q1" xfId="80"/>
    <cellStyle name="백분율_95" xfId="81"/>
    <cellStyle name="뷭?_BOOKSHIP" xfId="82"/>
    <cellStyle name="콤마 [0]_1202" xfId="83"/>
    <cellStyle name="콤마_1202" xfId="84"/>
    <cellStyle name="통화 [0]_1202" xfId="85"/>
    <cellStyle name="통화_1202" xfId="86"/>
    <cellStyle name="표준_(정보부문)월별인원계획" xfId="87"/>
    <cellStyle name="一般_00Q3902REV.1" xfId="88"/>
    <cellStyle name="千分位[0]_00Q3902REV.1" xfId="89"/>
    <cellStyle name="千分位_00Q3902REV.1" xfId="90"/>
    <cellStyle name="貨幣 [0]_00Q3902REV.1" xfId="91"/>
    <cellStyle name="貨幣[0]_BRE" xfId="92"/>
    <cellStyle name="貨幣_00Q3902REV.1" xfId="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111\c\Congviec\T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m"/>
      <sheetName val="Du_lieu"/>
      <sheetName val="KH-Q1,Q2,01"/>
      <sheetName val="TONGKE3p "/>
      <sheetName val="TDTKP"/>
      <sheetName val="DON GIA"/>
      <sheetName val="TONG HOP VL-NC"/>
      <sheetName val="TNHCHINH"/>
      <sheetName val="CHITIET VL-NC-TT -1p"/>
      <sheetName val="TDTKP1"/>
      <sheetName val="phuluc1"/>
      <sheetName val="TONG HOP VL-NC TT"/>
      <sheetName val="KPVC-BD "/>
      <sheetName val="#REF"/>
      <sheetName val="gvl"/>
      <sheetName val="Tiepdia"/>
      <sheetName val="CHITIET VL-NC-TT-3p"/>
      <sheetName val="VCV-BE-TONG"/>
      <sheetName val="chitiet"/>
      <sheetName val="VC"/>
      <sheetName val="CHITIET VL-NC"/>
      <sheetName val="THPDMoi  (2)"/>
      <sheetName val="t-h HA THE"/>
      <sheetName val="giathanh1"/>
      <sheetName val="TONGKE-HT"/>
      <sheetName val="LKVL-CK-HT-GD1"/>
      <sheetName val="TH VL, NC, DDHT Thanhphuoc"/>
      <sheetName val="dongia (2)"/>
      <sheetName val="DG"/>
      <sheetName val="DONGIA"/>
      <sheetName val="chitimc"/>
      <sheetName val="dtxl"/>
      <sheetName val="gtrinh"/>
      <sheetName val="lam-moi"/>
      <sheetName val="TH XL"/>
      <sheetName val="thao-go"/>
      <sheetName val="BAOGIATHANG"/>
      <sheetName val="vanchuyen TC"/>
      <sheetName val="DAODAT"/>
      <sheetName val="dongiaXD"/>
      <sheetName val="KH_Q1_Q2_01"/>
      <sheetName val="TONG HOP VL_NC"/>
      <sheetName val="CHITIET VL_NC_TT _1p"/>
      <sheetName val="TONG HOP VL_NC TT"/>
      <sheetName val="KPVC_BD "/>
      <sheetName val="_REF"/>
      <sheetName val="CHITIET VL_NC_TT_3p"/>
      <sheetName val="VCV_BE_TONG"/>
      <sheetName val="CHITIET VL_NC"/>
      <sheetName val="THPDMoi  _2_"/>
      <sheetName val="t_h HA THE"/>
      <sheetName val="TONGKE_HT"/>
      <sheetName val="LKVL_CK_HT_GD1"/>
      <sheetName val="TH VL_ NC_ DDHT Thanhphuoc"/>
      <sheetName val="dongia _2_"/>
      <sheetName val="lam_moi"/>
      <sheetName val="thao_go"/>
      <sheetName val="Thuc thanh"/>
      <sheetName val="dongia _0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4"/>
  <sheetViews>
    <sheetView topLeftCell="A13" zoomScale="55" workbookViewId="0">
      <selection activeCell="C4" sqref="C4:R34"/>
    </sheetView>
  </sheetViews>
  <sheetFormatPr defaultRowHeight="15"/>
  <cols>
    <col min="1" max="1" width="2.75" customWidth="1"/>
    <col min="2" max="2" width="30.625" customWidth="1"/>
    <col min="3" max="3" width="6.875" customWidth="1"/>
    <col min="4" max="4" width="5.375" customWidth="1"/>
    <col min="5" max="5" width="7.375" customWidth="1"/>
    <col min="6" max="6" width="5.375" customWidth="1"/>
    <col min="7" max="7" width="7.375" customWidth="1"/>
    <col min="8" max="8" width="5.375" customWidth="1"/>
    <col min="9" max="9" width="7.25" customWidth="1"/>
    <col min="10" max="10" width="5.375" customWidth="1"/>
    <col min="11" max="11" width="7.375" customWidth="1"/>
    <col min="12" max="12" width="5.375" customWidth="1"/>
    <col min="13" max="13" width="6.25" customWidth="1"/>
    <col min="14" max="14" width="6.375" customWidth="1"/>
    <col min="15" max="15" width="7" customWidth="1"/>
    <col min="16" max="16" width="5.375" customWidth="1"/>
    <col min="17" max="17" width="7" customWidth="1"/>
    <col min="18" max="18" width="5.375" customWidth="1"/>
  </cols>
  <sheetData>
    <row r="1" spans="1:18" ht="20.25">
      <c r="C1" s="1" t="s">
        <v>0</v>
      </c>
      <c r="D1" s="1"/>
      <c r="E1" s="1"/>
      <c r="F1" s="1"/>
      <c r="G1" s="1"/>
      <c r="H1" s="1"/>
    </row>
    <row r="2" spans="1:18" ht="15.75">
      <c r="A2" s="722" t="s">
        <v>1</v>
      </c>
      <c r="B2" s="724" t="s">
        <v>2</v>
      </c>
      <c r="C2" s="720" t="s">
        <v>5</v>
      </c>
      <c r="D2" s="721"/>
      <c r="E2" s="720" t="s">
        <v>6</v>
      </c>
      <c r="F2" s="721"/>
      <c r="G2" s="720" t="s">
        <v>7</v>
      </c>
      <c r="H2" s="721"/>
      <c r="I2" s="720" t="s">
        <v>8</v>
      </c>
      <c r="J2" s="721"/>
      <c r="K2" s="720" t="s">
        <v>9</v>
      </c>
      <c r="L2" s="721"/>
      <c r="M2" s="720" t="s">
        <v>10</v>
      </c>
      <c r="N2" s="721"/>
      <c r="O2" s="720" t="s">
        <v>11</v>
      </c>
      <c r="P2" s="721"/>
      <c r="Q2" s="720" t="s">
        <v>12</v>
      </c>
      <c r="R2" s="721"/>
    </row>
    <row r="3" spans="1:18" ht="15.75">
      <c r="A3" s="723"/>
      <c r="B3" s="725"/>
      <c r="C3" s="2" t="s">
        <v>3</v>
      </c>
      <c r="D3" s="2" t="s">
        <v>4</v>
      </c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</row>
    <row r="4" spans="1:18" ht="15.75">
      <c r="A4" s="3">
        <v>1</v>
      </c>
      <c r="B4" s="6" t="s">
        <v>40</v>
      </c>
      <c r="C4" s="7">
        <v>10</v>
      </c>
      <c r="D4" s="7"/>
      <c r="E4" s="7">
        <v>10</v>
      </c>
      <c r="F4" s="7"/>
      <c r="G4" s="7">
        <v>10</v>
      </c>
      <c r="H4" s="7"/>
      <c r="I4" s="7">
        <v>9</v>
      </c>
      <c r="J4" s="7"/>
      <c r="K4" s="7">
        <v>11</v>
      </c>
      <c r="L4" s="7"/>
      <c r="M4" s="7">
        <v>11</v>
      </c>
      <c r="N4" s="7"/>
      <c r="O4" s="7">
        <v>11</v>
      </c>
      <c r="P4" s="7"/>
      <c r="Q4" s="7">
        <v>11</v>
      </c>
      <c r="R4" s="7"/>
    </row>
    <row r="5" spans="1:18" ht="15.75">
      <c r="A5" s="4"/>
      <c r="B5" s="8" t="s">
        <v>43</v>
      </c>
      <c r="C5" s="9">
        <v>10</v>
      </c>
      <c r="D5" s="9"/>
      <c r="E5" s="9">
        <v>10</v>
      </c>
      <c r="F5" s="9"/>
      <c r="G5" s="9">
        <v>10</v>
      </c>
      <c r="H5" s="9"/>
      <c r="I5" s="9">
        <v>9</v>
      </c>
      <c r="J5" s="9"/>
      <c r="K5" s="9">
        <v>11</v>
      </c>
      <c r="L5" s="9"/>
      <c r="M5" s="9">
        <v>11</v>
      </c>
      <c r="N5" s="9"/>
      <c r="O5" s="9">
        <v>11</v>
      </c>
      <c r="P5" s="9"/>
      <c r="Q5" s="9">
        <v>11</v>
      </c>
      <c r="R5" s="9"/>
    </row>
    <row r="6" spans="1:18" ht="15.75">
      <c r="A6" s="4"/>
      <c r="B6" s="10" t="s">
        <v>16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15.75">
      <c r="A7" s="19"/>
      <c r="B7" s="10" t="s">
        <v>18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18" ht="15.75">
      <c r="A8" s="4">
        <v>2</v>
      </c>
      <c r="B8" s="11" t="s">
        <v>13</v>
      </c>
      <c r="C8" s="9">
        <v>67</v>
      </c>
      <c r="D8" s="9">
        <v>0</v>
      </c>
      <c r="E8" s="9">
        <v>70</v>
      </c>
      <c r="F8" s="9">
        <v>0</v>
      </c>
      <c r="G8" s="9">
        <v>74</v>
      </c>
      <c r="H8" s="9">
        <v>0</v>
      </c>
      <c r="I8" s="9">
        <v>71</v>
      </c>
      <c r="J8" s="9">
        <v>0</v>
      </c>
      <c r="K8" s="9">
        <v>96</v>
      </c>
      <c r="L8" s="9">
        <v>0</v>
      </c>
      <c r="M8" s="9">
        <v>97</v>
      </c>
      <c r="N8" s="9">
        <v>0</v>
      </c>
      <c r="O8" s="9">
        <v>102</v>
      </c>
      <c r="P8" s="9">
        <v>0</v>
      </c>
      <c r="Q8" s="9">
        <v>103</v>
      </c>
      <c r="R8" s="9">
        <v>0</v>
      </c>
    </row>
    <row r="9" spans="1:18" ht="15.75">
      <c r="A9" s="4"/>
      <c r="B9" s="8" t="s">
        <v>17</v>
      </c>
      <c r="C9" s="9">
        <v>25</v>
      </c>
      <c r="D9" s="9"/>
      <c r="E9" s="9">
        <v>24</v>
      </c>
      <c r="F9" s="9"/>
      <c r="G9" s="9">
        <v>26</v>
      </c>
      <c r="H9" s="9"/>
      <c r="I9" s="9">
        <v>24</v>
      </c>
      <c r="J9" s="9"/>
      <c r="K9" s="9">
        <v>31</v>
      </c>
      <c r="L9" s="9"/>
      <c r="M9" s="9">
        <v>31</v>
      </c>
      <c r="N9" s="9"/>
      <c r="O9" s="9">
        <v>32</v>
      </c>
      <c r="P9" s="9"/>
      <c r="Q9" s="9">
        <v>32</v>
      </c>
      <c r="R9" s="9"/>
    </row>
    <row r="10" spans="1:18" ht="15.75">
      <c r="A10" s="4"/>
      <c r="B10" s="10" t="s">
        <v>19</v>
      </c>
      <c r="C10" s="9">
        <v>42</v>
      </c>
      <c r="D10" s="9"/>
      <c r="E10" s="9">
        <v>46</v>
      </c>
      <c r="F10" s="9"/>
      <c r="G10" s="9">
        <v>48</v>
      </c>
      <c r="H10" s="9"/>
      <c r="I10" s="9">
        <v>47</v>
      </c>
      <c r="J10" s="9"/>
      <c r="K10" s="9">
        <v>65</v>
      </c>
      <c r="L10" s="9"/>
      <c r="M10" s="9">
        <v>66</v>
      </c>
      <c r="N10" s="9"/>
      <c r="O10" s="9">
        <v>70</v>
      </c>
      <c r="P10" s="9"/>
      <c r="Q10" s="9">
        <v>71</v>
      </c>
      <c r="R10" s="9"/>
    </row>
    <row r="11" spans="1:18" ht="15.75">
      <c r="A11" s="19"/>
      <c r="B11" s="10" t="s">
        <v>20</v>
      </c>
      <c r="C11" s="9">
        <v>28</v>
      </c>
      <c r="D11" s="9">
        <v>0</v>
      </c>
      <c r="E11" s="9">
        <v>27</v>
      </c>
      <c r="F11" s="9">
        <v>0</v>
      </c>
      <c r="G11" s="9">
        <v>23</v>
      </c>
      <c r="H11" s="9">
        <v>0</v>
      </c>
      <c r="I11" s="9">
        <v>24</v>
      </c>
      <c r="J11" s="9">
        <v>0</v>
      </c>
      <c r="K11" s="9">
        <v>22</v>
      </c>
      <c r="L11" s="9">
        <v>0</v>
      </c>
      <c r="M11" s="9">
        <v>26</v>
      </c>
      <c r="N11" s="9">
        <v>0</v>
      </c>
      <c r="O11" s="9">
        <v>23</v>
      </c>
      <c r="P11" s="9">
        <v>0</v>
      </c>
      <c r="Q11" s="9">
        <v>25</v>
      </c>
      <c r="R11" s="9"/>
    </row>
    <row r="12" spans="1:18" ht="15.75">
      <c r="A12" s="4">
        <v>3</v>
      </c>
      <c r="B12" s="11" t="s">
        <v>14</v>
      </c>
      <c r="C12" s="9">
        <v>1565</v>
      </c>
      <c r="D12" s="9"/>
      <c r="E12" s="9">
        <v>1586</v>
      </c>
      <c r="F12" s="9">
        <v>0</v>
      </c>
      <c r="G12" s="9">
        <v>1601</v>
      </c>
      <c r="H12" s="9">
        <v>0</v>
      </c>
      <c r="I12" s="9">
        <v>1633</v>
      </c>
      <c r="J12" s="9">
        <v>0</v>
      </c>
      <c r="K12" s="9">
        <v>2195</v>
      </c>
      <c r="L12" s="9">
        <v>0</v>
      </c>
      <c r="M12" s="9">
        <v>2288</v>
      </c>
      <c r="N12" s="9">
        <v>0</v>
      </c>
      <c r="O12" s="9">
        <v>2191</v>
      </c>
      <c r="P12" s="9">
        <v>0</v>
      </c>
      <c r="Q12" s="9">
        <v>2563</v>
      </c>
      <c r="R12" s="9">
        <v>0</v>
      </c>
    </row>
    <row r="13" spans="1:18" ht="15.75">
      <c r="A13" s="4"/>
      <c r="B13" s="8" t="s">
        <v>39</v>
      </c>
      <c r="C13" s="9">
        <v>375</v>
      </c>
      <c r="D13" s="9"/>
      <c r="E13" s="9">
        <v>389</v>
      </c>
      <c r="F13" s="9"/>
      <c r="G13" s="9">
        <v>400</v>
      </c>
      <c r="H13" s="9"/>
      <c r="I13" s="9">
        <v>390</v>
      </c>
      <c r="J13" s="9"/>
      <c r="K13" s="9">
        <v>476</v>
      </c>
      <c r="L13" s="9"/>
      <c r="M13" s="9">
        <v>510</v>
      </c>
      <c r="N13" s="9"/>
      <c r="O13" s="9">
        <v>494</v>
      </c>
      <c r="P13" s="9"/>
      <c r="Q13" s="9">
        <v>556</v>
      </c>
      <c r="R13" s="9"/>
    </row>
    <row r="14" spans="1:18" ht="15.75">
      <c r="A14" s="4"/>
      <c r="B14" s="10" t="s">
        <v>21</v>
      </c>
      <c r="C14" s="9">
        <v>1190</v>
      </c>
      <c r="D14" s="9"/>
      <c r="E14" s="9">
        <v>1197</v>
      </c>
      <c r="F14" s="9"/>
      <c r="G14" s="9">
        <v>1201</v>
      </c>
      <c r="H14" s="9"/>
      <c r="I14" s="9">
        <v>1243</v>
      </c>
      <c r="J14" s="9"/>
      <c r="K14" s="9">
        <v>1719</v>
      </c>
      <c r="L14" s="9"/>
      <c r="M14" s="9">
        <v>1778</v>
      </c>
      <c r="N14" s="9"/>
      <c r="O14" s="9">
        <v>1697</v>
      </c>
      <c r="P14" s="9"/>
      <c r="Q14" s="9">
        <v>2007</v>
      </c>
      <c r="R14" s="9"/>
    </row>
    <row r="15" spans="1:18" ht="15.75">
      <c r="A15" s="19"/>
      <c r="B15" s="10" t="s">
        <v>22</v>
      </c>
      <c r="C15" s="9">
        <v>718</v>
      </c>
      <c r="D15" s="9">
        <v>0</v>
      </c>
      <c r="E15" s="9">
        <v>669</v>
      </c>
      <c r="F15" s="9">
        <v>0</v>
      </c>
      <c r="G15" s="9">
        <v>572</v>
      </c>
      <c r="H15" s="9">
        <v>0</v>
      </c>
      <c r="I15" s="9">
        <v>612</v>
      </c>
      <c r="J15" s="9">
        <v>0</v>
      </c>
      <c r="K15" s="9">
        <v>552</v>
      </c>
      <c r="L15" s="9">
        <v>0</v>
      </c>
      <c r="M15" s="9">
        <v>642</v>
      </c>
      <c r="N15" s="9">
        <v>0</v>
      </c>
      <c r="O15" s="9">
        <v>579</v>
      </c>
      <c r="P15" s="9">
        <v>0</v>
      </c>
      <c r="Q15" s="9">
        <v>621</v>
      </c>
      <c r="R15" s="9"/>
    </row>
    <row r="16" spans="1:18">
      <c r="A16" s="4">
        <v>4</v>
      </c>
      <c r="B16" s="11" t="s">
        <v>15</v>
      </c>
      <c r="C16" s="12">
        <v>231</v>
      </c>
      <c r="D16" s="12"/>
      <c r="E16" s="12">
        <v>231</v>
      </c>
      <c r="F16" s="12">
        <v>0</v>
      </c>
      <c r="G16" s="12">
        <v>192</v>
      </c>
      <c r="H16" s="12">
        <v>0</v>
      </c>
      <c r="I16" s="12">
        <v>228</v>
      </c>
      <c r="J16" s="12">
        <v>0</v>
      </c>
      <c r="K16" s="12">
        <v>297</v>
      </c>
      <c r="L16" s="12">
        <v>0</v>
      </c>
      <c r="M16" s="12">
        <v>302</v>
      </c>
      <c r="N16" s="12">
        <v>0</v>
      </c>
      <c r="O16" s="12">
        <v>320</v>
      </c>
      <c r="P16" s="12">
        <v>0</v>
      </c>
      <c r="Q16" s="12">
        <v>265</v>
      </c>
      <c r="R16" s="12">
        <v>0</v>
      </c>
    </row>
    <row r="17" spans="1:18" ht="15.75">
      <c r="A17" s="4"/>
      <c r="B17" s="8" t="s">
        <v>38</v>
      </c>
      <c r="C17" s="9">
        <v>22</v>
      </c>
      <c r="D17" s="9"/>
      <c r="E17" s="9">
        <v>22</v>
      </c>
      <c r="F17" s="9"/>
      <c r="G17" s="9">
        <v>27</v>
      </c>
      <c r="H17" s="9"/>
      <c r="I17" s="9">
        <v>21</v>
      </c>
      <c r="J17" s="9"/>
      <c r="K17" s="9">
        <v>26</v>
      </c>
      <c r="L17" s="9"/>
      <c r="M17" s="9">
        <v>26</v>
      </c>
      <c r="N17" s="9"/>
      <c r="O17" s="9">
        <v>28</v>
      </c>
      <c r="P17" s="9"/>
      <c r="Q17" s="9">
        <v>32</v>
      </c>
      <c r="R17" s="9"/>
    </row>
    <row r="18" spans="1:18" ht="15.75">
      <c r="A18" s="4"/>
      <c r="B18" s="10" t="s">
        <v>23</v>
      </c>
      <c r="C18" s="14">
        <v>191</v>
      </c>
      <c r="D18" s="14"/>
      <c r="E18" s="14">
        <v>191</v>
      </c>
      <c r="F18" s="14">
        <v>0</v>
      </c>
      <c r="G18" s="14">
        <v>147</v>
      </c>
      <c r="H18" s="14">
        <v>0</v>
      </c>
      <c r="I18" s="14">
        <v>191</v>
      </c>
      <c r="J18" s="14">
        <v>0</v>
      </c>
      <c r="K18" s="14">
        <v>243</v>
      </c>
      <c r="L18" s="14">
        <v>0</v>
      </c>
      <c r="M18" s="14">
        <v>247</v>
      </c>
      <c r="N18" s="14">
        <v>0</v>
      </c>
      <c r="O18" s="14">
        <v>260</v>
      </c>
      <c r="P18" s="14">
        <v>0</v>
      </c>
      <c r="Q18" s="9">
        <v>198</v>
      </c>
      <c r="R18" s="9">
        <v>0</v>
      </c>
    </row>
    <row r="19" spans="1:18" ht="15.75">
      <c r="A19" s="4"/>
      <c r="B19" s="10" t="s">
        <v>24</v>
      </c>
      <c r="C19" s="14">
        <v>93</v>
      </c>
      <c r="D19" s="9"/>
      <c r="E19" s="9">
        <v>95</v>
      </c>
      <c r="F19" s="9"/>
      <c r="G19" s="9">
        <v>51</v>
      </c>
      <c r="H19" s="9"/>
      <c r="I19" s="9">
        <v>94</v>
      </c>
      <c r="J19" s="9"/>
      <c r="K19" s="9">
        <v>105</v>
      </c>
      <c r="L19" s="9"/>
      <c r="M19" s="9">
        <v>100</v>
      </c>
      <c r="N19" s="9"/>
      <c r="O19" s="9">
        <v>57</v>
      </c>
      <c r="P19" s="9"/>
      <c r="Q19" s="9">
        <v>59</v>
      </c>
      <c r="R19" s="9"/>
    </row>
    <row r="20" spans="1:18" ht="15.75">
      <c r="A20" s="4"/>
      <c r="B20" s="10" t="s">
        <v>25</v>
      </c>
      <c r="C20" s="14">
        <v>98</v>
      </c>
      <c r="D20" s="9"/>
      <c r="E20" s="9">
        <v>96</v>
      </c>
      <c r="F20" s="9"/>
      <c r="G20" s="9">
        <v>96</v>
      </c>
      <c r="H20" s="9"/>
      <c r="I20" s="9">
        <v>97</v>
      </c>
      <c r="J20" s="9"/>
      <c r="K20" s="9">
        <v>138</v>
      </c>
      <c r="L20" s="9"/>
      <c r="M20" s="9">
        <v>147</v>
      </c>
      <c r="N20" s="9"/>
      <c r="O20" s="9">
        <v>203</v>
      </c>
      <c r="P20" s="9"/>
      <c r="Q20" s="9">
        <v>139</v>
      </c>
      <c r="R20" s="9"/>
    </row>
    <row r="21" spans="1:18" ht="15.75">
      <c r="A21" s="4"/>
      <c r="B21" s="10" t="s">
        <v>26</v>
      </c>
      <c r="C21" s="14"/>
      <c r="D21" s="14"/>
      <c r="E21" s="14">
        <v>10</v>
      </c>
      <c r="F21" s="14"/>
      <c r="G21" s="14">
        <v>58</v>
      </c>
      <c r="H21" s="14"/>
      <c r="I21" s="14"/>
      <c r="J21" s="14"/>
      <c r="K21" s="14"/>
      <c r="L21" s="14"/>
      <c r="M21" s="14"/>
      <c r="N21" s="14"/>
      <c r="O21" s="14"/>
      <c r="P21" s="14"/>
      <c r="Q21" s="9"/>
      <c r="R21" s="9"/>
    </row>
    <row r="22" spans="1:18" ht="15.75">
      <c r="A22" s="19"/>
      <c r="B22" s="10" t="s">
        <v>27</v>
      </c>
      <c r="C22" s="9">
        <v>18</v>
      </c>
      <c r="D22" s="9"/>
      <c r="E22" s="9">
        <v>18</v>
      </c>
      <c r="F22" s="9"/>
      <c r="G22" s="9">
        <v>18</v>
      </c>
      <c r="H22" s="9"/>
      <c r="I22" s="9">
        <v>16</v>
      </c>
      <c r="J22" s="9"/>
      <c r="K22" s="9">
        <v>28</v>
      </c>
      <c r="L22" s="9"/>
      <c r="M22" s="9">
        <v>29</v>
      </c>
      <c r="N22" s="9"/>
      <c r="O22" s="9">
        <v>32</v>
      </c>
      <c r="P22" s="9"/>
      <c r="Q22" s="9">
        <v>35</v>
      </c>
      <c r="R22" s="9"/>
    </row>
    <row r="23" spans="1:18" ht="15.75">
      <c r="A23" s="4">
        <v>5</v>
      </c>
      <c r="B23" s="11" t="s">
        <v>41</v>
      </c>
      <c r="C23" s="9">
        <v>67</v>
      </c>
      <c r="D23" s="9"/>
      <c r="E23" s="9">
        <v>70</v>
      </c>
      <c r="F23" s="9"/>
      <c r="G23" s="9">
        <v>74</v>
      </c>
      <c r="H23" s="9"/>
      <c r="I23" s="9">
        <v>71</v>
      </c>
      <c r="J23" s="9"/>
      <c r="K23" s="9">
        <v>96</v>
      </c>
      <c r="L23" s="9"/>
      <c r="M23" s="9">
        <v>97</v>
      </c>
      <c r="N23" s="9"/>
      <c r="O23" s="9">
        <v>102</v>
      </c>
      <c r="P23" s="9"/>
      <c r="Q23" s="9">
        <v>103</v>
      </c>
      <c r="R23" s="9"/>
    </row>
    <row r="24" spans="1:18" ht="15.75">
      <c r="A24" s="4"/>
      <c r="B24" s="8" t="s">
        <v>37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</row>
    <row r="25" spans="1:18" ht="15.75">
      <c r="A25" s="4"/>
      <c r="B25" s="10" t="s">
        <v>35</v>
      </c>
      <c r="C25" s="9">
        <v>42</v>
      </c>
      <c r="D25" s="9"/>
      <c r="E25" s="9">
        <v>42</v>
      </c>
      <c r="F25" s="9"/>
      <c r="G25" s="9">
        <v>46</v>
      </c>
      <c r="H25" s="9"/>
      <c r="I25" s="9">
        <v>46</v>
      </c>
      <c r="J25" s="9"/>
      <c r="K25" s="9">
        <v>54</v>
      </c>
      <c r="L25" s="9"/>
      <c r="M25" s="9">
        <v>58</v>
      </c>
      <c r="N25" s="9"/>
      <c r="O25" s="9">
        <v>66</v>
      </c>
      <c r="P25" s="9"/>
      <c r="Q25" s="9">
        <v>70</v>
      </c>
      <c r="R25" s="9"/>
    </row>
    <row r="26" spans="1:18" ht="15.75">
      <c r="A26" s="4"/>
      <c r="B26" s="10" t="s">
        <v>36</v>
      </c>
      <c r="C26" s="9">
        <v>25</v>
      </c>
      <c r="D26" s="9"/>
      <c r="E26" s="9">
        <v>28</v>
      </c>
      <c r="F26" s="9"/>
      <c r="G26" s="9">
        <v>28</v>
      </c>
      <c r="H26" s="9"/>
      <c r="I26" s="9">
        <v>25</v>
      </c>
      <c r="J26" s="9"/>
      <c r="K26" s="9">
        <v>42</v>
      </c>
      <c r="L26" s="9"/>
      <c r="M26" s="9">
        <v>39</v>
      </c>
      <c r="N26" s="9"/>
      <c r="O26" s="9">
        <v>36</v>
      </c>
      <c r="P26" s="9"/>
      <c r="Q26" s="9">
        <v>33</v>
      </c>
      <c r="R26" s="9"/>
    </row>
    <row r="27" spans="1:18" ht="15.75">
      <c r="A27" s="19"/>
      <c r="B27" s="8" t="s">
        <v>28</v>
      </c>
      <c r="C27" s="9">
        <v>10</v>
      </c>
      <c r="D27" s="9"/>
      <c r="E27" s="9">
        <v>10</v>
      </c>
      <c r="F27" s="9"/>
      <c r="G27" s="9">
        <v>10</v>
      </c>
      <c r="H27" s="9"/>
      <c r="I27" s="9">
        <v>9</v>
      </c>
      <c r="J27" s="9"/>
      <c r="K27" s="9">
        <v>11</v>
      </c>
      <c r="L27" s="9"/>
      <c r="M27" s="9">
        <v>11</v>
      </c>
      <c r="N27" s="9"/>
      <c r="O27" s="9">
        <v>11</v>
      </c>
      <c r="P27" s="9"/>
      <c r="Q27" s="9">
        <v>11</v>
      </c>
      <c r="R27" s="9"/>
    </row>
    <row r="28" spans="1:18" ht="15.75">
      <c r="A28" s="4">
        <v>6</v>
      </c>
      <c r="B28" s="11" t="s">
        <v>42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ht="15.75">
      <c r="A29" s="4"/>
      <c r="B29" s="15" t="s">
        <v>29</v>
      </c>
      <c r="C29" s="16">
        <v>23.35820895522388</v>
      </c>
      <c r="D29" s="16"/>
      <c r="E29" s="16">
        <v>22.657142857142858</v>
      </c>
      <c r="F29" s="16"/>
      <c r="G29" s="16">
        <v>21.635135135135137</v>
      </c>
      <c r="H29" s="16"/>
      <c r="I29" s="16">
        <v>23</v>
      </c>
      <c r="J29" s="16"/>
      <c r="K29" s="16">
        <v>22.864583333333332</v>
      </c>
      <c r="L29" s="16"/>
      <c r="M29" s="16">
        <v>23.587628865979383</v>
      </c>
      <c r="N29" s="16"/>
      <c r="O29" s="16">
        <v>21.480392156862745</v>
      </c>
      <c r="P29" s="16"/>
      <c r="Q29" s="16">
        <v>24.883495145631066</v>
      </c>
      <c r="R29" s="16"/>
    </row>
    <row r="30" spans="1:18" ht="15.75">
      <c r="A30" s="4"/>
      <c r="B30" s="15" t="s">
        <v>30</v>
      </c>
      <c r="C30" s="16">
        <v>2.8507462686567164</v>
      </c>
      <c r="D30" s="16"/>
      <c r="E30" s="16">
        <v>2.7285714285714286</v>
      </c>
      <c r="F30" s="16"/>
      <c r="G30" s="16">
        <v>1.9864864864864864</v>
      </c>
      <c r="H30" s="16"/>
      <c r="I30" s="16">
        <v>2.6901408450704225</v>
      </c>
      <c r="J30" s="16"/>
      <c r="K30" s="16">
        <v>2.53125</v>
      </c>
      <c r="L30" s="16"/>
      <c r="M30" s="16">
        <v>2.5463917525773194</v>
      </c>
      <c r="N30" s="16"/>
      <c r="O30" s="16">
        <v>2.5490196078431371</v>
      </c>
      <c r="P30" s="16"/>
      <c r="Q30" s="16">
        <v>1.9223300970873787</v>
      </c>
      <c r="R30" s="16"/>
    </row>
    <row r="31" spans="1:18" ht="15.75">
      <c r="A31" s="4"/>
      <c r="B31" s="15" t="s">
        <v>31</v>
      </c>
      <c r="C31" s="16">
        <v>41.567065073041171</v>
      </c>
      <c r="D31" s="16"/>
      <c r="E31" s="16">
        <v>43.739658025372314</v>
      </c>
      <c r="F31" s="16"/>
      <c r="G31" s="16">
        <v>44.745667970933482</v>
      </c>
      <c r="H31" s="16"/>
      <c r="I31" s="16">
        <v>43.827160493827158</v>
      </c>
      <c r="J31" s="16"/>
      <c r="K31" s="16">
        <v>58.06878306878307</v>
      </c>
      <c r="L31" s="16"/>
      <c r="M31" s="16">
        <v>60.115606936416185</v>
      </c>
      <c r="N31" s="16"/>
      <c r="O31" s="16">
        <v>59.978100191623319</v>
      </c>
      <c r="P31" s="16"/>
      <c r="Q31" s="16">
        <v>76.736526946107787</v>
      </c>
      <c r="R31" s="16"/>
    </row>
    <row r="32" spans="1:18" ht="15.75">
      <c r="A32" s="4"/>
      <c r="B32" s="15" t="s">
        <v>32</v>
      </c>
      <c r="C32" s="9">
        <v>1806</v>
      </c>
      <c r="D32" s="9"/>
      <c r="E32" s="9">
        <v>1773</v>
      </c>
      <c r="F32" s="9"/>
      <c r="G32" s="9">
        <v>1842</v>
      </c>
      <c r="H32" s="9"/>
      <c r="I32" s="9">
        <v>1920</v>
      </c>
      <c r="J32" s="9"/>
      <c r="K32" s="9">
        <v>2007</v>
      </c>
      <c r="L32" s="9"/>
      <c r="M32" s="9">
        <v>1964</v>
      </c>
      <c r="N32" s="9"/>
      <c r="O32" s="9">
        <v>1733</v>
      </c>
      <c r="P32" s="9"/>
      <c r="Q32" s="9">
        <v>1333</v>
      </c>
      <c r="R32" s="9"/>
    </row>
    <row r="33" spans="1:18" ht="15.75">
      <c r="A33" s="4"/>
      <c r="B33" s="15" t="s">
        <v>33</v>
      </c>
      <c r="C33" s="9">
        <v>1959</v>
      </c>
      <c r="D33" s="9"/>
      <c r="E33" s="9">
        <v>1853</v>
      </c>
      <c r="F33" s="9"/>
      <c r="G33" s="9">
        <v>1736</v>
      </c>
      <c r="H33" s="9"/>
      <c r="I33" s="9">
        <v>1806</v>
      </c>
      <c r="J33" s="9"/>
      <c r="K33" s="9">
        <v>1773</v>
      </c>
      <c r="L33" s="9"/>
      <c r="M33" s="9">
        <v>1842</v>
      </c>
      <c r="N33" s="9"/>
      <c r="O33" s="9">
        <v>1920</v>
      </c>
      <c r="P33" s="9"/>
      <c r="Q33" s="9">
        <v>2007</v>
      </c>
      <c r="R33" s="9"/>
    </row>
    <row r="34" spans="1:18" ht="15.75">
      <c r="A34" s="5"/>
      <c r="B34" s="17" t="s">
        <v>34</v>
      </c>
      <c r="C34" s="18">
        <v>718</v>
      </c>
      <c r="D34" s="18"/>
      <c r="E34" s="18">
        <v>669</v>
      </c>
      <c r="F34" s="18"/>
      <c r="G34" s="18">
        <v>572</v>
      </c>
      <c r="H34" s="18"/>
      <c r="I34" s="18">
        <v>612</v>
      </c>
      <c r="J34" s="18"/>
      <c r="K34" s="18">
        <v>552</v>
      </c>
      <c r="L34" s="18"/>
      <c r="M34" s="18">
        <v>642</v>
      </c>
      <c r="N34" s="18"/>
      <c r="O34" s="18">
        <v>579</v>
      </c>
      <c r="P34" s="18"/>
      <c r="Q34" s="18">
        <v>621</v>
      </c>
      <c r="R34" s="18"/>
    </row>
  </sheetData>
  <mergeCells count="10">
    <mergeCell ref="A2:A3"/>
    <mergeCell ref="B2:B3"/>
    <mergeCell ref="C2:D2"/>
    <mergeCell ref="E2:F2"/>
    <mergeCell ref="O2:P2"/>
    <mergeCell ref="Q2:R2"/>
    <mergeCell ref="G2:H2"/>
    <mergeCell ref="I2:J2"/>
    <mergeCell ref="K2:L2"/>
    <mergeCell ref="M2:N2"/>
  </mergeCells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S38"/>
  <sheetViews>
    <sheetView zoomScale="85" workbookViewId="0">
      <selection activeCell="C4" sqref="C4:R34"/>
    </sheetView>
  </sheetViews>
  <sheetFormatPr defaultRowHeight="12.75"/>
  <cols>
    <col min="1" max="1" width="2.75" style="35" customWidth="1"/>
    <col min="2" max="2" width="27.625" style="35" customWidth="1"/>
    <col min="3" max="3" width="6.25" style="58" customWidth="1"/>
    <col min="4" max="4" width="5.375" style="58" customWidth="1"/>
    <col min="5" max="5" width="7.375" style="58" customWidth="1"/>
    <col min="6" max="6" width="5.5" style="58" customWidth="1"/>
    <col min="7" max="7" width="6.875" style="58" customWidth="1"/>
    <col min="8" max="8" width="5.375" style="58" customWidth="1"/>
    <col min="9" max="9" width="6.625" style="58" customWidth="1"/>
    <col min="10" max="10" width="5.375" style="58" customWidth="1"/>
    <col min="11" max="11" width="6.625" style="58" customWidth="1"/>
    <col min="12" max="12" width="5.375" style="58" customWidth="1"/>
    <col min="13" max="13" width="6.25" style="58" customWidth="1"/>
    <col min="14" max="15" width="6.375" style="58" customWidth="1"/>
    <col min="16" max="16" width="5.375" style="58" customWidth="1"/>
    <col min="17" max="17" width="6.5" style="58" customWidth="1"/>
    <col min="18" max="18" width="5.375" style="58" customWidth="1"/>
    <col min="19" max="19" width="5.375" style="35" customWidth="1"/>
    <col min="20" max="16384" width="9" style="35"/>
  </cols>
  <sheetData>
    <row r="1" spans="1:18" ht="14.25">
      <c r="A1" s="728" t="s">
        <v>44</v>
      </c>
      <c r="B1" s="728"/>
      <c r="C1" s="728"/>
      <c r="D1" s="728"/>
      <c r="E1" s="728"/>
      <c r="F1" s="728"/>
      <c r="G1" s="728"/>
      <c r="H1" s="728"/>
      <c r="I1" s="728"/>
      <c r="J1" s="728"/>
      <c r="K1" s="728"/>
      <c r="L1" s="728"/>
      <c r="M1" s="728"/>
      <c r="N1" s="728"/>
      <c r="O1" s="728"/>
      <c r="P1" s="728"/>
      <c r="Q1" s="728"/>
      <c r="R1" s="728"/>
    </row>
    <row r="2" spans="1:18" ht="17.100000000000001" customHeight="1">
      <c r="A2" s="729" t="s">
        <v>1</v>
      </c>
      <c r="B2" s="731" t="s">
        <v>2</v>
      </c>
      <c r="C2" s="726" t="s">
        <v>5</v>
      </c>
      <c r="D2" s="727"/>
      <c r="E2" s="726" t="s">
        <v>6</v>
      </c>
      <c r="F2" s="727"/>
      <c r="G2" s="726" t="s">
        <v>7</v>
      </c>
      <c r="H2" s="727"/>
      <c r="I2" s="726" t="s">
        <v>8</v>
      </c>
      <c r="J2" s="727"/>
      <c r="K2" s="726" t="s">
        <v>9</v>
      </c>
      <c r="L2" s="727"/>
      <c r="M2" s="726" t="s">
        <v>10</v>
      </c>
      <c r="N2" s="727"/>
      <c r="O2" s="726" t="s">
        <v>11</v>
      </c>
      <c r="P2" s="727"/>
      <c r="Q2" s="726" t="s">
        <v>12</v>
      </c>
      <c r="R2" s="727"/>
    </row>
    <row r="3" spans="1:18" ht="17.100000000000001" customHeight="1">
      <c r="A3" s="730"/>
      <c r="B3" s="732"/>
      <c r="C3" s="36" t="s">
        <v>3</v>
      </c>
      <c r="D3" s="36" t="s">
        <v>4</v>
      </c>
      <c r="E3" s="36" t="s">
        <v>3</v>
      </c>
      <c r="F3" s="36" t="s">
        <v>4</v>
      </c>
      <c r="G3" s="36" t="s">
        <v>3</v>
      </c>
      <c r="H3" s="36" t="s">
        <v>4</v>
      </c>
      <c r="I3" s="36" t="s">
        <v>3</v>
      </c>
      <c r="J3" s="36" t="s">
        <v>4</v>
      </c>
      <c r="K3" s="36" t="s">
        <v>3</v>
      </c>
      <c r="L3" s="36" t="s">
        <v>4</v>
      </c>
      <c r="M3" s="36" t="s">
        <v>3</v>
      </c>
      <c r="N3" s="36" t="s">
        <v>4</v>
      </c>
      <c r="O3" s="36" t="s">
        <v>3</v>
      </c>
      <c r="P3" s="36" t="s">
        <v>4</v>
      </c>
      <c r="Q3" s="36" t="s">
        <v>3</v>
      </c>
      <c r="R3" s="36" t="s">
        <v>4</v>
      </c>
    </row>
    <row r="4" spans="1:18" ht="17.100000000000001" customHeight="1">
      <c r="A4" s="37">
        <v>1</v>
      </c>
      <c r="B4" s="38" t="s">
        <v>40</v>
      </c>
      <c r="C4" s="39">
        <f>SUM(C5:C6)</f>
        <v>30</v>
      </c>
      <c r="D4" s="39">
        <f t="shared" ref="D4:P4" si="0">SUM(D5:D6)</f>
        <v>10</v>
      </c>
      <c r="E4" s="39">
        <f t="shared" si="0"/>
        <v>33</v>
      </c>
      <c r="F4" s="39">
        <f t="shared" si="0"/>
        <v>9</v>
      </c>
      <c r="G4" s="39">
        <f t="shared" si="0"/>
        <v>33</v>
      </c>
      <c r="H4" s="39">
        <f t="shared" si="0"/>
        <v>14</v>
      </c>
      <c r="I4" s="39">
        <f t="shared" si="0"/>
        <v>37</v>
      </c>
      <c r="J4" s="39">
        <f t="shared" si="0"/>
        <v>19</v>
      </c>
      <c r="K4" s="39">
        <f t="shared" si="0"/>
        <v>50</v>
      </c>
      <c r="L4" s="39">
        <f t="shared" si="0"/>
        <v>18</v>
      </c>
      <c r="M4" s="39">
        <f t="shared" si="0"/>
        <v>54</v>
      </c>
      <c r="N4" s="39">
        <f t="shared" si="0"/>
        <v>20</v>
      </c>
      <c r="O4" s="39">
        <f t="shared" si="0"/>
        <v>73</v>
      </c>
      <c r="P4" s="39">
        <f t="shared" si="0"/>
        <v>24</v>
      </c>
      <c r="Q4" s="40">
        <v>91</v>
      </c>
      <c r="R4" s="40">
        <v>682</v>
      </c>
    </row>
    <row r="5" spans="1:18" ht="17.100000000000001" customHeight="1">
      <c r="A5" s="41"/>
      <c r="B5" s="42" t="s">
        <v>43</v>
      </c>
      <c r="C5" s="34">
        <f>TP!C5+DB!C5+DBD!C5+TX!C5+MC!C5+MN!C5+MA!C5+TG!C5+TC!C5</f>
        <v>30</v>
      </c>
      <c r="D5" s="34">
        <f>TP!D5+DB!D5+DBD!D5+TX!D5+MC!D5+MN!D5+MA!D5+TG!D5+TC!D5</f>
        <v>10</v>
      </c>
      <c r="E5" s="34">
        <f>TP!E5+DB!E5+DBD!E5+TX!E5+MC!E5+MN!E5+MA!E5+TG!E5+TC!E5</f>
        <v>33</v>
      </c>
      <c r="F5" s="34">
        <f>TP!F5+DB!F5+DBD!F5+TX!F5+MC!F5+MN!F5+MA!F5+TG!F5+TC!F5</f>
        <v>9</v>
      </c>
      <c r="G5" s="34">
        <f>TP!G5+DB!G5+DBD!G5+TX!G5+MC!G5+MN!G5+MA!G5+TG!G5+TC!G5</f>
        <v>33</v>
      </c>
      <c r="H5" s="34">
        <f>TP!H5+DB!H5+DBD!H5+TX!H5+MC!H5+MN!H5+MA!H5+TG!H5+TC!H5</f>
        <v>14</v>
      </c>
      <c r="I5" s="34">
        <f>TP!I5+DB!I5+DBD!I5+TX!I5+MC!I5+MN!I5+MA!I5+TG!I5+TC!I5</f>
        <v>37</v>
      </c>
      <c r="J5" s="34">
        <f>TP!J5+DB!J5+DBD!J5+TX!J5+MC!J5+MN!J5+MA!J5+TG!J5+TC!J5</f>
        <v>19</v>
      </c>
      <c r="K5" s="34">
        <f>TP!K5+DB!K5+DBD!K5+TX!K5+MC!K5+MN!K5+MA!K5+TG!K5+TC!K5</f>
        <v>50</v>
      </c>
      <c r="L5" s="34">
        <f>TP!L5+DB!L5+DBD!L5+TX!L5+MC!L5+MN!L5+MA!L5+TG!L5+TC!L5</f>
        <v>18</v>
      </c>
      <c r="M5" s="34">
        <f>TP!M5+DB!M5+DBD!M5+TX!M5+MC!M5+MN!M5+MA!M5+TG!M5+TC!M5</f>
        <v>54</v>
      </c>
      <c r="N5" s="34">
        <f>TP!N5+DB!N5+DBD!N5+TX!N5+MC!N5+MN!N5+MA!N5+TG!N5+TC!N5</f>
        <v>20</v>
      </c>
      <c r="O5" s="34">
        <f>TP!O5+DB!O5+DBD!O5+TX!O5+MC!O5+MN!O5+MA!O5+TG!O5+TC!O5</f>
        <v>73</v>
      </c>
      <c r="P5" s="34">
        <f>TP!P5+DB!P5+DBD!P5+TX!P5+MC!P5+MN!P5+MA!P5+TG!P5+TC!P5</f>
        <v>24</v>
      </c>
      <c r="Q5" s="34">
        <v>91</v>
      </c>
      <c r="R5" s="34">
        <v>682</v>
      </c>
    </row>
    <row r="6" spans="1:18" ht="17.100000000000001" customHeight="1">
      <c r="A6" s="41"/>
      <c r="B6" s="43" t="s">
        <v>16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</row>
    <row r="7" spans="1:18" ht="17.100000000000001" customHeight="1">
      <c r="A7" s="44"/>
      <c r="B7" s="43" t="s">
        <v>18</v>
      </c>
      <c r="C7" s="34">
        <f>TP!C7+DB!C7+DBD!C7+TX!C7+MC!C7+MN!C7+MA!C7+TG!C7+TC!C7</f>
        <v>0</v>
      </c>
      <c r="D7" s="34">
        <f>TP!D7+DB!D7+DBD!D7+TX!D7+MC!D7+MN!D7+MA!D7+TG!D7+TC!D7</f>
        <v>0</v>
      </c>
      <c r="E7" s="34">
        <f>TP!E7+DB!E7+DBD!E7+TX!E7+MC!E7+MN!E7+MA!E7+TG!E7+TC!E7</f>
        <v>0</v>
      </c>
      <c r="F7" s="34">
        <f>TP!F7+DB!F7+DBD!F7+TX!F7+MC!F7+MN!F7+MA!F7+TG!F7+TC!F7</f>
        <v>0</v>
      </c>
      <c r="G7" s="34">
        <f>TP!G7+DB!G7+DBD!G7+TX!G7+MC!G7+MN!G7+MA!G7+TG!G7+TC!G7</f>
        <v>0</v>
      </c>
      <c r="H7" s="34">
        <f>TP!H7+DB!H7+DBD!H7+TX!H7+MC!H7+MN!H7+MA!H7+TG!H7+TC!H7</f>
        <v>0</v>
      </c>
      <c r="I7" s="34">
        <f>TP!I7+DB!I7+DBD!I7+TX!I7+MC!I7+MN!I7+MA!I7+TG!I7+TC!I7</f>
        <v>1</v>
      </c>
      <c r="J7" s="34">
        <f>TP!J7+DB!J7+DBD!J7+TX!J7+MC!J7+MN!J7+MA!J7+TG!J7+TC!J7</f>
        <v>0</v>
      </c>
      <c r="K7" s="34">
        <f>TP!K7+DB!K7+DBD!K7+TX!K7+MC!K7+MN!K7+MA!K7+TG!K7+TC!K7</f>
        <v>3</v>
      </c>
      <c r="L7" s="34">
        <f>TP!L7+DB!L7+DBD!L7+TX!L7+MC!L7+MN!L7+MA!L7+TG!L7+TC!L7</f>
        <v>0</v>
      </c>
      <c r="M7" s="34">
        <f>TP!M7+DB!M7+DBD!M7+TX!M7+MC!M7+MN!M7+MA!M7+TG!M7+TC!M7</f>
        <v>4</v>
      </c>
      <c r="N7" s="34">
        <f>TP!N7+DB!N7+DBD!N7+TX!N7+MC!N7+MN!N7+MA!N7+TG!N7+TC!N7</f>
        <v>0</v>
      </c>
      <c r="O7" s="34">
        <f>TP!O7+DB!O7+DBD!O7+TX!O7+MC!O7+MN!O7+MA!O7+TG!O7+TC!O7</f>
        <v>5</v>
      </c>
      <c r="P7" s="34">
        <f>TP!P7+DB!P7+DBD!P7+TX!P7+MC!P7+MN!P7+MA!P7+TG!P7+TC!P7</f>
        <v>0</v>
      </c>
      <c r="Q7" s="34">
        <v>12</v>
      </c>
      <c r="R7" s="34"/>
    </row>
    <row r="8" spans="1:18" ht="17.100000000000001" customHeight="1">
      <c r="A8" s="41">
        <v>2</v>
      </c>
      <c r="B8" s="45" t="s">
        <v>13</v>
      </c>
      <c r="C8" s="46">
        <f>SUM(C9:C10)</f>
        <v>339</v>
      </c>
      <c r="D8" s="46">
        <f t="shared" ref="D8:P8" si="1">SUM(D9:D10)</f>
        <v>137</v>
      </c>
      <c r="E8" s="46">
        <f t="shared" si="1"/>
        <v>353</v>
      </c>
      <c r="F8" s="46">
        <f t="shared" si="1"/>
        <v>165</v>
      </c>
      <c r="G8" s="46">
        <f t="shared" si="1"/>
        <v>370</v>
      </c>
      <c r="H8" s="46">
        <f t="shared" si="1"/>
        <v>185</v>
      </c>
      <c r="I8" s="46">
        <f t="shared" si="1"/>
        <v>406</v>
      </c>
      <c r="J8" s="46">
        <f t="shared" si="1"/>
        <v>216</v>
      </c>
      <c r="K8" s="46">
        <f t="shared" si="1"/>
        <v>411</v>
      </c>
      <c r="L8" s="46">
        <f t="shared" si="1"/>
        <v>294</v>
      </c>
      <c r="M8" s="46">
        <f t="shared" si="1"/>
        <v>417</v>
      </c>
      <c r="N8" s="46">
        <f t="shared" si="1"/>
        <v>395</v>
      </c>
      <c r="O8" s="46">
        <f t="shared" si="1"/>
        <v>476</v>
      </c>
      <c r="P8" s="46">
        <f t="shared" si="1"/>
        <v>596</v>
      </c>
      <c r="Q8" s="34">
        <f>SUM(Q9:Q10)</f>
        <v>509</v>
      </c>
      <c r="R8" s="34">
        <f>SUM(R9:R10)</f>
        <v>839</v>
      </c>
    </row>
    <row r="9" spans="1:18" ht="17.100000000000001" customHeight="1">
      <c r="A9" s="41"/>
      <c r="B9" s="42" t="s">
        <v>17</v>
      </c>
      <c r="C9" s="34">
        <f>TP!C9+DB!C9+DBD!C9+TX!C9+MC!C9+MN!C9+MA!C9+TG!C9+TC!C9</f>
        <v>84</v>
      </c>
      <c r="D9" s="34">
        <f>TP!D9+DB!D9+DBD!D9+TX!D9+MC!D9+MN!D9+MA!D9+TG!D9+TC!D9</f>
        <v>20</v>
      </c>
      <c r="E9" s="34">
        <f>TP!E9+DB!E9+DBD!E9+TX!E9+MC!E9+MN!E9+MA!E9+TG!E9+TC!E9</f>
        <v>85</v>
      </c>
      <c r="F9" s="34">
        <f>TP!F9+DB!F9+DBD!F9+TX!F9+MC!F9+MN!F9+MA!F9+TG!F9+TC!F9</f>
        <v>22</v>
      </c>
      <c r="G9" s="34">
        <f>TP!G9+DB!G9+DBD!G9+TX!G9+MC!G9+MN!G9+MA!G9+TG!G9+TC!G9</f>
        <v>89</v>
      </c>
      <c r="H9" s="34">
        <f>TP!H9+DB!H9+DBD!H9+TX!H9+MC!H9+MN!H9+MA!H9+TG!H9+TC!H9</f>
        <v>23</v>
      </c>
      <c r="I9" s="34">
        <f>TP!I9+DB!I9+DBD!I9+TX!I9+MC!I9+MN!I9+MA!I9+TG!I9+TC!I9</f>
        <v>94</v>
      </c>
      <c r="J9" s="34">
        <f>TP!J9+DB!J9+DBD!J9+TX!J9+MC!J9+MN!J9+MA!J9+TG!J9+TC!J9</f>
        <v>22</v>
      </c>
      <c r="K9" s="34">
        <f>TP!K9+DB!K9+DBD!K9+TX!K9+MC!K9+MN!K9+MA!K9+TG!K9+TC!K9</f>
        <v>104</v>
      </c>
      <c r="L9" s="34">
        <f>TP!L9+DB!L9+DBD!L9+TX!L9+MC!L9+MN!L9+MA!L9+TG!L9+TC!L9</f>
        <v>20</v>
      </c>
      <c r="M9" s="34">
        <f>TP!M9+DB!M9+DBD!M9+TX!M9+MC!M9+MN!M9+MA!M9+TG!M9+TC!M9</f>
        <v>102</v>
      </c>
      <c r="N9" s="34">
        <f>TP!N9+DB!N9+DBD!N9+TX!N9+MC!N9+MN!N9+MA!N9+TG!N9+TC!N9</f>
        <v>19</v>
      </c>
      <c r="O9" s="34">
        <f>TP!O9+DB!O9+DBD!O9+TX!O9+MC!O9+MN!O9+MA!O9+TG!O9+TC!O9</f>
        <v>99</v>
      </c>
      <c r="P9" s="34">
        <f>TP!P9+DB!P9+DBD!P9+TX!P9+MC!P9+MN!P9+MA!P9+TG!P9+TC!P9</f>
        <v>15</v>
      </c>
      <c r="Q9" s="34">
        <v>88</v>
      </c>
      <c r="R9" s="34">
        <v>59</v>
      </c>
    </row>
    <row r="10" spans="1:18" ht="17.100000000000001" customHeight="1">
      <c r="A10" s="41"/>
      <c r="B10" s="43" t="s">
        <v>19</v>
      </c>
      <c r="C10" s="34">
        <v>255</v>
      </c>
      <c r="D10" s="34">
        <v>117</v>
      </c>
      <c r="E10" s="34">
        <v>268</v>
      </c>
      <c r="F10" s="34">
        <v>143</v>
      </c>
      <c r="G10" s="34">
        <v>281</v>
      </c>
      <c r="H10" s="34">
        <v>162</v>
      </c>
      <c r="I10" s="34">
        <v>312</v>
      </c>
      <c r="J10" s="34">
        <v>194</v>
      </c>
      <c r="K10" s="34">
        <v>307</v>
      </c>
      <c r="L10" s="34">
        <v>274</v>
      </c>
      <c r="M10" s="34">
        <v>315</v>
      </c>
      <c r="N10" s="34">
        <f>TP!N10+DB!N10+DBD!N10+TX!N10+MC!N10+MN!N10+MA!N10+TG!N10+TC!N10</f>
        <v>376</v>
      </c>
      <c r="O10" s="34">
        <v>377</v>
      </c>
      <c r="P10" s="34">
        <f>TP!P10+DB!P10+DBD!P10+TX!P10+MC!P10+MN!P10+MA!P10+TG!P10+TC!P10</f>
        <v>581</v>
      </c>
      <c r="Q10" s="34">
        <v>421</v>
      </c>
      <c r="R10" s="34">
        <v>780</v>
      </c>
    </row>
    <row r="11" spans="1:18" ht="17.100000000000001" customHeight="1">
      <c r="A11" s="44"/>
      <c r="B11" s="43" t="s">
        <v>20</v>
      </c>
      <c r="C11" s="34">
        <v>82</v>
      </c>
      <c r="D11" s="34">
        <v>48</v>
      </c>
      <c r="E11" s="34">
        <v>91</v>
      </c>
      <c r="F11" s="34">
        <v>53</v>
      </c>
      <c r="G11" s="34">
        <v>95</v>
      </c>
      <c r="H11" s="34">
        <v>58</v>
      </c>
      <c r="I11" s="34">
        <v>107</v>
      </c>
      <c r="J11" s="34">
        <f>TP!J11+DB!J11+DBD!J11+TX!J11+MC!J11+MN!J11+MA!J11+TG!J11+TC!J11</f>
        <v>102</v>
      </c>
      <c r="K11" s="34">
        <v>111</v>
      </c>
      <c r="L11" s="34">
        <f>TP!L11+DB!L11+DBD!L11+TX!L11+MC!L11+MN!L11+MA!L11+TG!L11+TC!L11</f>
        <v>119</v>
      </c>
      <c r="M11" s="34">
        <f>TP!M11+DB!M11+DBD!M11+TX!M11+MC!M11+MN!M11+MA!M11+TG!M11+TC!M11</f>
        <v>118</v>
      </c>
      <c r="N11" s="34">
        <f>TP!N11+DB!N11+DBD!N11+TX!N11+MC!N11+MN!N11+MA!N11+TG!N11+TC!N11</f>
        <v>167</v>
      </c>
      <c r="O11" s="34">
        <f>TP!O11+DB!O11+DBD!O11+TX!O11+MC!O11+MN!O11+MA!O11+TG!O11+TC!O11</f>
        <v>109</v>
      </c>
      <c r="P11" s="34">
        <f>TP!P11+DB!P11+DBD!P11+TX!P11+MC!P11+MN!P11+MA!P11+TG!P11+TC!P11</f>
        <v>268</v>
      </c>
      <c r="Q11" s="34">
        <v>154</v>
      </c>
      <c r="R11" s="34">
        <v>192</v>
      </c>
    </row>
    <row r="12" spans="1:18" ht="17.100000000000001" customHeight="1">
      <c r="A12" s="41">
        <v>3</v>
      </c>
      <c r="B12" s="45" t="s">
        <v>14</v>
      </c>
      <c r="C12" s="46">
        <f>SUM(C13:C14)</f>
        <v>6310</v>
      </c>
      <c r="D12" s="46">
        <f t="shared" ref="D12:P12" si="2">SUM(D13:D14)</f>
        <v>2121</v>
      </c>
      <c r="E12" s="46">
        <f t="shared" si="2"/>
        <v>6427</v>
      </c>
      <c r="F12" s="46">
        <f t="shared" si="2"/>
        <v>2307</v>
      </c>
      <c r="G12" s="46">
        <f t="shared" si="2"/>
        <v>7190</v>
      </c>
      <c r="H12" s="46">
        <f t="shared" si="2"/>
        <v>2595</v>
      </c>
      <c r="I12" s="46">
        <f t="shared" si="2"/>
        <v>8293</v>
      </c>
      <c r="J12" s="46">
        <f t="shared" si="2"/>
        <v>3383</v>
      </c>
      <c r="K12" s="46">
        <f t="shared" si="2"/>
        <v>8106</v>
      </c>
      <c r="L12" s="46">
        <f t="shared" si="2"/>
        <v>4732</v>
      </c>
      <c r="M12" s="46">
        <f t="shared" si="2"/>
        <v>8790</v>
      </c>
      <c r="N12" s="46">
        <f t="shared" si="2"/>
        <v>6225</v>
      </c>
      <c r="O12" s="46">
        <f t="shared" si="2"/>
        <v>11112</v>
      </c>
      <c r="P12" s="46">
        <f t="shared" si="2"/>
        <v>10240</v>
      </c>
      <c r="Q12" s="47">
        <f>SUM(Q13:Q14)</f>
        <v>11610</v>
      </c>
      <c r="R12" s="47">
        <f>SUM(R13:R14)</f>
        <v>13399</v>
      </c>
    </row>
    <row r="13" spans="1:18" ht="17.100000000000001" customHeight="1">
      <c r="A13" s="41"/>
      <c r="B13" s="42" t="s">
        <v>39</v>
      </c>
      <c r="C13" s="34">
        <v>1309</v>
      </c>
      <c r="D13" s="34">
        <f>TP!D13+DB!D13+DBD!D13+TX!D13+MC!D13+MN!D13+MA!D13+TG!D13+TC!D13</f>
        <v>220</v>
      </c>
      <c r="E13" s="34">
        <v>1309</v>
      </c>
      <c r="F13" s="34">
        <f>TP!F13+DB!F13+DBD!F13+TX!F13+MC!F13+MN!F13+MA!F13+TG!F13+TC!F13</f>
        <v>234</v>
      </c>
      <c r="G13" s="34">
        <v>1382</v>
      </c>
      <c r="H13" s="34">
        <f>TP!H13+DB!H13+DBD!H13+TX!H13+MC!H13+MN!H13+MA!H13+TG!H13+TC!H13</f>
        <v>248</v>
      </c>
      <c r="I13" s="34">
        <v>1418</v>
      </c>
      <c r="J13" s="34">
        <f>TP!J13+DB!J13+DBD!J13+TX!J13+MC!J13+MN!J13+MA!J13+TG!J13+TC!J13</f>
        <v>263</v>
      </c>
      <c r="K13" s="34">
        <v>1394</v>
      </c>
      <c r="L13" s="34">
        <v>207</v>
      </c>
      <c r="M13" s="34">
        <v>1487</v>
      </c>
      <c r="N13" s="34">
        <v>205</v>
      </c>
      <c r="O13" s="34">
        <v>1702</v>
      </c>
      <c r="P13" s="34">
        <v>135</v>
      </c>
      <c r="Q13" s="34">
        <v>1760</v>
      </c>
      <c r="R13" s="48">
        <v>491</v>
      </c>
    </row>
    <row r="14" spans="1:18" ht="17.100000000000001" customHeight="1">
      <c r="A14" s="41"/>
      <c r="B14" s="43" t="s">
        <v>21</v>
      </c>
      <c r="C14" s="34">
        <v>5001</v>
      </c>
      <c r="D14" s="34">
        <f>TP!D14+DB!D14+DBD!D14+TX!D14+MC!D14+MN!D14+MA!D14+TG!D14+TC!D14</f>
        <v>1901</v>
      </c>
      <c r="E14" s="34">
        <v>5118</v>
      </c>
      <c r="F14" s="34">
        <f>TP!F14+DB!F14+DBD!F14+TX!F14+MC!F14+MN!F14+MA!F14+TG!F14+TC!F14</f>
        <v>2073</v>
      </c>
      <c r="G14" s="34">
        <v>5808</v>
      </c>
      <c r="H14" s="34">
        <f>TP!H14+DB!H14+DBD!H14+TX!H14+MC!H14+MN!H14+MA!H14+TG!H14+TC!H14</f>
        <v>2347</v>
      </c>
      <c r="I14" s="34">
        <v>6875</v>
      </c>
      <c r="J14" s="34">
        <v>3120</v>
      </c>
      <c r="K14" s="34">
        <v>6712</v>
      </c>
      <c r="L14" s="34">
        <v>4525</v>
      </c>
      <c r="M14" s="34">
        <v>7303</v>
      </c>
      <c r="N14" s="34">
        <v>6020</v>
      </c>
      <c r="O14" s="34">
        <v>9410</v>
      </c>
      <c r="P14" s="34">
        <v>10105</v>
      </c>
      <c r="Q14" s="34">
        <v>9850</v>
      </c>
      <c r="R14" s="34">
        <v>12908</v>
      </c>
    </row>
    <row r="15" spans="1:18" ht="17.100000000000001" customHeight="1">
      <c r="A15" s="44"/>
      <c r="B15" s="43" t="s">
        <v>22</v>
      </c>
      <c r="C15" s="34">
        <v>2104</v>
      </c>
      <c r="D15" s="34">
        <v>752</v>
      </c>
      <c r="E15" s="34">
        <v>2162</v>
      </c>
      <c r="F15" s="34">
        <v>844</v>
      </c>
      <c r="G15" s="34">
        <v>2176</v>
      </c>
      <c r="H15" s="34">
        <v>854</v>
      </c>
      <c r="I15" s="34">
        <v>2722</v>
      </c>
      <c r="J15" s="34">
        <v>1695</v>
      </c>
      <c r="K15" s="34">
        <v>2960</v>
      </c>
      <c r="L15" s="34">
        <v>1767</v>
      </c>
      <c r="M15" s="34">
        <v>2903</v>
      </c>
      <c r="N15" s="34">
        <v>2877</v>
      </c>
      <c r="O15" s="34">
        <f>TP!O15+DB!O15+DBD!O15+TX!O15+MC!O15+MN!O15+MA!O15+TG!O15+TC!O15</f>
        <v>2675</v>
      </c>
      <c r="P15" s="34">
        <v>4269</v>
      </c>
      <c r="Q15" s="34">
        <v>4789</v>
      </c>
      <c r="R15" s="34">
        <v>5062</v>
      </c>
    </row>
    <row r="16" spans="1:18" ht="17.100000000000001" customHeight="1">
      <c r="A16" s="41">
        <v>4</v>
      </c>
      <c r="B16" s="45" t="s">
        <v>15</v>
      </c>
      <c r="C16" s="47">
        <f>C17+C18+C22</f>
        <v>678</v>
      </c>
      <c r="D16" s="47">
        <f t="shared" ref="D16:P16" si="3">D17+D18+D22</f>
        <v>147</v>
      </c>
      <c r="E16" s="47">
        <f t="shared" si="3"/>
        <v>705</v>
      </c>
      <c r="F16" s="47">
        <f t="shared" si="3"/>
        <v>166</v>
      </c>
      <c r="G16" s="47">
        <f t="shared" si="3"/>
        <v>720</v>
      </c>
      <c r="H16" s="47">
        <f t="shared" si="3"/>
        <v>211</v>
      </c>
      <c r="I16" s="47">
        <f t="shared" si="3"/>
        <v>817</v>
      </c>
      <c r="J16" s="47">
        <f t="shared" si="3"/>
        <v>197</v>
      </c>
      <c r="K16" s="47">
        <f t="shared" si="3"/>
        <v>893</v>
      </c>
      <c r="L16" s="47">
        <f t="shared" si="3"/>
        <v>266</v>
      </c>
      <c r="M16" s="47">
        <f t="shared" si="3"/>
        <v>1017</v>
      </c>
      <c r="N16" s="47">
        <f t="shared" si="3"/>
        <v>395</v>
      </c>
      <c r="O16" s="47">
        <f t="shared" si="3"/>
        <v>1079</v>
      </c>
      <c r="P16" s="47">
        <f t="shared" si="3"/>
        <v>609</v>
      </c>
      <c r="Q16" s="46">
        <v>1300</v>
      </c>
      <c r="R16" s="46">
        <v>852</v>
      </c>
    </row>
    <row r="17" spans="1:18" ht="17.100000000000001" customHeight="1">
      <c r="A17" s="41"/>
      <c r="B17" s="42" t="s">
        <v>38</v>
      </c>
      <c r="C17" s="34">
        <f>TP!C17+DB!C17+DBD!C17+TX!C17+MC!C17+MN!C17+MA!C17+TG!C17+TC!C17</f>
        <v>63</v>
      </c>
      <c r="D17" s="34">
        <f>TP!D17+DB!D17+DBD!D17+TX!D17+MC!D17+MN!D17+MA!D17+TG!D17+TC!D17</f>
        <v>0</v>
      </c>
      <c r="E17" s="34">
        <f>TP!E17+DB!E17+DBD!E17+TX!E17+MC!E17+MN!E17+MA!E17+TG!E17+TC!E17</f>
        <v>68</v>
      </c>
      <c r="F17" s="34">
        <f>TP!F17+DB!F17+DBD!F17+TX!F17+MC!F17+MN!F17+MA!F17+TG!F17+TC!F17</f>
        <v>0</v>
      </c>
      <c r="G17" s="34">
        <f>TP!G17+DB!G17+DBD!G17+TX!G17+MC!G17+MN!G17+MA!G17+TG!G17+TC!G17</f>
        <v>75</v>
      </c>
      <c r="H17" s="34">
        <f>TP!H17+DB!H17+DBD!H17+TX!H17+MC!H17+MN!H17+MA!H17+TG!H17+TC!H17</f>
        <v>0</v>
      </c>
      <c r="I17" s="34">
        <f>TP!I17+DB!I17+DBD!I17+TX!I17+MC!I17+MN!I17+MA!I17+TG!I17+TC!I17</f>
        <v>79</v>
      </c>
      <c r="J17" s="34">
        <f>TP!J17+DB!J17+DBD!J17+TX!J17+MC!J17+MN!J17+MA!J17+TG!J17+TC!J17</f>
        <v>0</v>
      </c>
      <c r="K17" s="34">
        <f>TP!K17+DB!K17+DBD!K17+TX!K17+MC!K17+MN!K17+MA!K17+TG!K17+TC!K17</f>
        <v>108</v>
      </c>
      <c r="L17" s="34">
        <f>TP!L17+DB!L17+DBD!L17+TX!L17+MC!L17+MN!L17+MA!L17+TG!L17+TC!L17</f>
        <v>0</v>
      </c>
      <c r="M17" s="34">
        <f>TP!M17+DB!M17+DBD!M17+TX!M17+MC!M17+MN!M17+MA!M17+TG!M17+TC!M17</f>
        <v>112</v>
      </c>
      <c r="N17" s="34">
        <f>TP!N17+DB!N17+DBD!N17+TX!N17+MC!N17+MN!N17+MA!N17+TG!N17+TC!N17</f>
        <v>0</v>
      </c>
      <c r="O17" s="34">
        <f>TP!O17+DB!O17+DBD!O17+TX!O17+MC!O17+MN!O17+MA!O17+TG!O17+TC!O17</f>
        <v>136</v>
      </c>
      <c r="P17" s="34">
        <f>TP!P17+DB!P17+DBD!P17+TX!P17+MC!P17+MN!P17+MA!P17+TG!P17+TC!P17</f>
        <v>0</v>
      </c>
      <c r="Q17" s="34">
        <v>199</v>
      </c>
      <c r="R17" s="34">
        <v>0</v>
      </c>
    </row>
    <row r="18" spans="1:18" ht="17.100000000000001" customHeight="1">
      <c r="A18" s="41"/>
      <c r="B18" s="43" t="s">
        <v>23</v>
      </c>
      <c r="C18" s="34">
        <v>555</v>
      </c>
      <c r="D18" s="34">
        <f t="shared" ref="D18:R18" si="4">SUM(D19:D20)</f>
        <v>147</v>
      </c>
      <c r="E18" s="34">
        <v>571</v>
      </c>
      <c r="F18" s="34">
        <f t="shared" si="4"/>
        <v>166</v>
      </c>
      <c r="G18" s="34">
        <v>579</v>
      </c>
      <c r="H18" s="34">
        <f t="shared" si="4"/>
        <v>211</v>
      </c>
      <c r="I18" s="34">
        <v>627</v>
      </c>
      <c r="J18" s="34">
        <f t="shared" si="4"/>
        <v>197</v>
      </c>
      <c r="K18" s="34">
        <v>635</v>
      </c>
      <c r="L18" s="34">
        <f t="shared" si="4"/>
        <v>266</v>
      </c>
      <c r="M18" s="34">
        <v>743</v>
      </c>
      <c r="N18" s="34">
        <v>395</v>
      </c>
      <c r="O18" s="34">
        <v>724</v>
      </c>
      <c r="P18" s="34">
        <f t="shared" si="4"/>
        <v>609</v>
      </c>
      <c r="Q18" s="34">
        <v>737</v>
      </c>
      <c r="R18" s="34">
        <f t="shared" si="4"/>
        <v>884</v>
      </c>
    </row>
    <row r="19" spans="1:18" ht="17.100000000000001" customHeight="1">
      <c r="A19" s="41"/>
      <c r="B19" s="43" t="s">
        <v>24</v>
      </c>
      <c r="C19" s="34">
        <f>TP!C19+DB!C19+DBD!C19+TX!C19+MC!C19+MN!C19+MA!C19+TG!C19+TC!C19</f>
        <v>237</v>
      </c>
      <c r="D19" s="34">
        <f>TP!D19+DB!D19+DBD!D19+TX!D19+MC!D19+MN!D19+MA!D19+TG!D19+TC!D19</f>
        <v>50</v>
      </c>
      <c r="E19" s="34">
        <f>TP!E19+DB!E19+DBD!E19+TX!E19+MC!E19+MN!E19+MA!E19+TG!E19+TC!E19</f>
        <v>243</v>
      </c>
      <c r="F19" s="34">
        <f>TP!F19+DB!F19+DBD!F19+TX!F19+MC!F19+MN!F19+MA!F19+TG!F19+TC!F19</f>
        <v>51</v>
      </c>
      <c r="G19" s="34">
        <f>TP!G19+DB!G19+DBD!G19+TX!G19+MC!G19+MN!G19+MA!G19+TG!G19+TC!G19</f>
        <v>175</v>
      </c>
      <c r="H19" s="34">
        <f>TP!H19+DB!H19+DBD!H19+TX!H19+MC!H19+MN!H19+MA!H19+TG!H19+TC!H19</f>
        <v>54</v>
      </c>
      <c r="I19" s="34">
        <f>TP!I19+DB!I19+DBD!I19+TX!I19+MC!I19+MN!I19+MA!I19+TG!I19+TC!I19</f>
        <v>202</v>
      </c>
      <c r="J19" s="34">
        <f>TP!J19+DB!J19+DBD!J19+TX!J19+MC!J19+MN!J19+MA!J19+TG!J19+TC!J19</f>
        <v>25</v>
      </c>
      <c r="K19" s="34">
        <f>TP!K19+DB!K19+DBD!K19+TX!K19+MC!K19+MN!K19+MA!K19+TG!K19+TC!K19</f>
        <v>216</v>
      </c>
      <c r="L19" s="34">
        <f>TP!L19+DB!L19+DBD!L19+TX!L19+MC!L19+MN!L19+MA!L19+TG!L19+TC!L19</f>
        <v>39</v>
      </c>
      <c r="M19" s="34">
        <f>TP!M19+DB!M19+DBD!M19+TX!M19+MC!M19+MN!M19+MA!M19+TG!M19+TC!M19</f>
        <v>240</v>
      </c>
      <c r="N19" s="34">
        <f>TP!N19+DB!N19+DBD!N19+TX!N19+MC!N19+MN!N19+MA!N19+TG!N19+TC!N19</f>
        <v>24</v>
      </c>
      <c r="O19" s="34">
        <f>TP!O19+DB!O19+DBD!O19+TX!O19+MC!O19+MN!O19+MA!O19+TG!O19+TC!O19</f>
        <v>186</v>
      </c>
      <c r="P19" s="34">
        <f>TP!P19+DB!P19+DBD!P19+TX!P19+MC!P19+MN!P19+MA!P19+TG!P19+TC!P19</f>
        <v>21</v>
      </c>
      <c r="Q19" s="34">
        <f>Q9*1.5</f>
        <v>132</v>
      </c>
      <c r="R19" s="34">
        <f>260-132</f>
        <v>128</v>
      </c>
    </row>
    <row r="20" spans="1:18" ht="17.100000000000001" customHeight="1">
      <c r="A20" s="41"/>
      <c r="B20" s="43" t="s">
        <v>25</v>
      </c>
      <c r="C20" s="34">
        <f>TP!C20+DB!C20+DBD!C20+TX!C20+MC!C20+MN!C20+MA!C20+TG!C20+TC!C20</f>
        <v>304</v>
      </c>
      <c r="D20" s="34">
        <f>TP!D20+DB!D20+DBD!D20+TX!D20+MC!D20+MN!D20+MA!D20+TG!D20+TC!D20</f>
        <v>97</v>
      </c>
      <c r="E20" s="34">
        <f>TP!E20+DB!E20+DBD!E20+TX!E20+MC!E20+MN!E20+MA!E20+TG!E20+TC!E20</f>
        <v>316</v>
      </c>
      <c r="F20" s="34">
        <f>TP!F20+DB!F20+DBD!F20+TX!F20+MC!F20+MN!F20+MA!F20+TG!F20+TC!F20</f>
        <v>115</v>
      </c>
      <c r="G20" s="34">
        <f>TP!G20+DB!G20+DBD!G20+TX!G20+MC!G20+MN!G20+MA!G20+TG!G20+TC!G20</f>
        <v>357</v>
      </c>
      <c r="H20" s="34">
        <f>TP!H20+DB!H20+DBD!H20+TX!H20+MC!H20+MN!H20+MA!H20+TG!H20+TC!H20</f>
        <v>157</v>
      </c>
      <c r="I20" s="34">
        <f>TP!I20+DB!I20+DBD!I20+TX!I20+MC!I20+MN!I20+MA!I20+TG!I20+TC!I20</f>
        <v>485</v>
      </c>
      <c r="J20" s="34">
        <f>TP!J20+DB!J20+DBD!J20+TX!J20+MC!J20+MN!J20+MA!J20+TG!J20+TC!J20</f>
        <v>172</v>
      </c>
      <c r="K20" s="34">
        <f>TP!K20+DB!K20+DBD!K20+TX!K20+MC!K20+MN!K20+MA!K20+TG!K20+TC!K20</f>
        <v>569</v>
      </c>
      <c r="L20" s="34">
        <f>TP!L20+DB!L20+DBD!L20+TX!L20+MC!L20+MN!L20+MA!L20+TG!L20+TC!L20</f>
        <v>227</v>
      </c>
      <c r="M20" s="34">
        <f>TP!M20+DB!M20+DBD!M20+TX!M20+MC!M20+MN!M20+MA!M20+TG!M20+TC!M20</f>
        <v>676</v>
      </c>
      <c r="N20" s="34">
        <f>TP!N20+DB!N20+DBD!N20+TX!N20+MC!N20+MN!N20+MA!N20+TG!N20+TC!N20</f>
        <v>335</v>
      </c>
      <c r="O20" s="34">
        <f>TP!O20+DB!O20+DBD!O20+TX!O20+MC!O20+MN!O20+MA!O20+TG!O20+TC!O20</f>
        <v>757</v>
      </c>
      <c r="P20" s="34">
        <f>TP!P20+DB!P20+DBD!P20+TX!P20+MC!P20+MN!P20+MA!P20+TG!P20+TC!P20</f>
        <v>588</v>
      </c>
      <c r="Q20" s="34">
        <v>605</v>
      </c>
      <c r="R20" s="34">
        <v>756</v>
      </c>
    </row>
    <row r="21" spans="1:18" ht="17.100000000000001" customHeight="1">
      <c r="A21" s="41"/>
      <c r="B21" s="43" t="s">
        <v>26</v>
      </c>
      <c r="C21" s="48">
        <f>C18*0.76</f>
        <v>421.8</v>
      </c>
      <c r="D21" s="48">
        <f>D18*0.76</f>
        <v>111.72</v>
      </c>
      <c r="E21" s="48">
        <f>E18*0.78</f>
        <v>445.38</v>
      </c>
      <c r="F21" s="48">
        <f>F18*0.78</f>
        <v>129.48000000000002</v>
      </c>
      <c r="G21" s="48">
        <f>G18*0.8</f>
        <v>463.20000000000005</v>
      </c>
      <c r="H21" s="48">
        <f>H18*0.8</f>
        <v>168.8</v>
      </c>
      <c r="I21" s="48">
        <f>I18*0.83</f>
        <v>520.41</v>
      </c>
      <c r="J21" s="48">
        <f>J18*0.83</f>
        <v>163.51</v>
      </c>
      <c r="K21" s="48">
        <f>K18*0.86</f>
        <v>546.1</v>
      </c>
      <c r="L21" s="48">
        <f>L18*0.86</f>
        <v>228.76</v>
      </c>
      <c r="M21" s="48">
        <f>M18*0.95</f>
        <v>705.85</v>
      </c>
      <c r="N21" s="48">
        <f>N18*0.95</f>
        <v>375.25</v>
      </c>
      <c r="O21" s="48">
        <f>O18*0.99</f>
        <v>716.76</v>
      </c>
      <c r="P21" s="48">
        <f>P18*0.99</f>
        <v>602.91</v>
      </c>
      <c r="Q21" s="48">
        <f>Q18*0.99</f>
        <v>729.63</v>
      </c>
      <c r="R21" s="48">
        <f>R18*0.99</f>
        <v>875.16</v>
      </c>
    </row>
    <row r="22" spans="1:18" ht="17.100000000000001" customHeight="1">
      <c r="A22" s="44"/>
      <c r="B22" s="43" t="s">
        <v>27</v>
      </c>
      <c r="C22" s="34">
        <f>C4*2</f>
        <v>60</v>
      </c>
      <c r="D22" s="34">
        <f>TP!D22+DB!D22+DBD!D22+TX!D22+MC!D22+MN!D22+MA!D22+TG!D22+TC!D22</f>
        <v>0</v>
      </c>
      <c r="E22" s="34">
        <f>E4*2</f>
        <v>66</v>
      </c>
      <c r="F22" s="34">
        <f>TP!F22+DB!F22+DBD!F22+TX!F22+MC!F22+MN!F22+MA!F22+TG!F22+TC!F22</f>
        <v>0</v>
      </c>
      <c r="G22" s="34">
        <f>G4*2</f>
        <v>66</v>
      </c>
      <c r="H22" s="34">
        <f>TP!H22+DB!H22+DBD!H22+TX!H22+MC!H22+MN!H22+MA!H22+TG!H22+TC!H22</f>
        <v>0</v>
      </c>
      <c r="I22" s="48">
        <f>I4*3</f>
        <v>111</v>
      </c>
      <c r="J22" s="34">
        <f>TP!J22+DB!J22+DBD!J22+TX!J22+MC!J22+MN!J22+MA!J22+TG!J22+TC!J22</f>
        <v>0</v>
      </c>
      <c r="K22" s="48">
        <f>K4*3</f>
        <v>150</v>
      </c>
      <c r="L22" s="34">
        <f>TP!L22+DB!L22+DBD!L22+TX!L22+MC!L22+MN!L22+MA!L22+TG!L22+TC!L22</f>
        <v>0</v>
      </c>
      <c r="M22" s="48">
        <f>M4*3</f>
        <v>162</v>
      </c>
      <c r="N22" s="34">
        <f>TP!N22+DB!N22+DBD!N22+TX!N22+MC!N22+MN!N22+MA!N22+TG!N22+TC!N22</f>
        <v>0</v>
      </c>
      <c r="O22" s="48">
        <f>O4*3</f>
        <v>219</v>
      </c>
      <c r="P22" s="34">
        <f>TP!P22+DB!P22+DBD!P22+TX!P22+MC!P22+MN!P22+MA!P22+TG!P22+TC!P22</f>
        <v>0</v>
      </c>
      <c r="Q22" s="34">
        <v>296</v>
      </c>
      <c r="R22" s="34"/>
    </row>
    <row r="23" spans="1:18" ht="17.100000000000001" customHeight="1">
      <c r="A23" s="41">
        <v>5</v>
      </c>
      <c r="B23" s="45" t="s">
        <v>41</v>
      </c>
      <c r="C23" s="46">
        <f>SUM(C24:C26)</f>
        <v>235</v>
      </c>
      <c r="D23" s="46">
        <f t="shared" ref="D23:P23" si="5">SUM(D24:D26)</f>
        <v>108</v>
      </c>
      <c r="E23" s="46">
        <f t="shared" si="5"/>
        <v>258</v>
      </c>
      <c r="F23" s="46">
        <f t="shared" si="5"/>
        <v>131</v>
      </c>
      <c r="G23" s="47">
        <f t="shared" si="5"/>
        <v>288</v>
      </c>
      <c r="H23" s="46">
        <f t="shared" si="5"/>
        <v>133.62</v>
      </c>
      <c r="I23" s="47">
        <f t="shared" si="5"/>
        <v>315</v>
      </c>
      <c r="J23" s="46">
        <f t="shared" si="5"/>
        <v>167.48439999999999</v>
      </c>
      <c r="K23" s="47">
        <f t="shared" si="5"/>
        <v>351</v>
      </c>
      <c r="L23" s="46">
        <f t="shared" si="5"/>
        <v>177.79408799999999</v>
      </c>
      <c r="M23" s="46">
        <f t="shared" si="5"/>
        <v>411</v>
      </c>
      <c r="N23" s="47">
        <f t="shared" si="5"/>
        <v>321</v>
      </c>
      <c r="O23" s="47">
        <f t="shared" si="5"/>
        <v>376.3</v>
      </c>
      <c r="P23" s="46">
        <f t="shared" si="5"/>
        <v>358.82</v>
      </c>
      <c r="Q23" s="34">
        <f>SUM(Q24:Q26)</f>
        <v>403</v>
      </c>
      <c r="R23" s="34">
        <f>SUM(R24:R26)+157</f>
        <v>781</v>
      </c>
    </row>
    <row r="24" spans="1:18" ht="17.100000000000001" customHeight="1">
      <c r="A24" s="41"/>
      <c r="B24" s="42" t="s">
        <v>37</v>
      </c>
      <c r="C24" s="34">
        <v>109</v>
      </c>
      <c r="D24" s="34">
        <f>TP!D24+DB!D24+DBD!D24+TX!D24+MC!D24+MN!D24+MA!D24+TG!D24+TC!D24</f>
        <v>4</v>
      </c>
      <c r="E24" s="34">
        <v>128</v>
      </c>
      <c r="F24" s="34">
        <v>20</v>
      </c>
      <c r="G24" s="48">
        <v>157</v>
      </c>
      <c r="H24" s="48">
        <f>F24+(F24*0.02)</f>
        <v>20.399999999999999</v>
      </c>
      <c r="I24" s="48">
        <v>165</v>
      </c>
      <c r="J24" s="48">
        <v>52</v>
      </c>
      <c r="K24" s="48">
        <v>231</v>
      </c>
      <c r="L24" s="48">
        <v>60</v>
      </c>
      <c r="M24" s="48">
        <v>237</v>
      </c>
      <c r="N24" s="48">
        <v>60</v>
      </c>
      <c r="O24" s="48">
        <v>200</v>
      </c>
      <c r="P24" s="48">
        <v>70</v>
      </c>
      <c r="Q24" s="34">
        <v>180</v>
      </c>
      <c r="R24" s="34">
        <v>77</v>
      </c>
    </row>
    <row r="25" spans="1:18" ht="17.100000000000001" customHeight="1">
      <c r="A25" s="41"/>
      <c r="B25" s="43" t="s">
        <v>35</v>
      </c>
      <c r="C25" s="34">
        <v>59</v>
      </c>
      <c r="D25" s="34">
        <f>TP!D25+DB!D25+DBD!D25+TX!D25+MC!D25+MN!D25+MA!D25+TG!D25+TC!D25</f>
        <v>6</v>
      </c>
      <c r="E25" s="34">
        <v>59</v>
      </c>
      <c r="F25" s="34">
        <f>TP!F25+DB!F25+DBD!F25+TX!F25+MC!F25+MN!F25+MA!F25+TG!F25+TC!F25</f>
        <v>10</v>
      </c>
      <c r="G25" s="48">
        <v>60</v>
      </c>
      <c r="H25" s="48">
        <f>F25+(F25*0.02)</f>
        <v>10.199999999999999</v>
      </c>
      <c r="I25" s="48">
        <v>70</v>
      </c>
      <c r="J25" s="48">
        <f>H25+(H25*0.02)</f>
        <v>10.404</v>
      </c>
      <c r="K25" s="48">
        <v>60</v>
      </c>
      <c r="L25" s="48">
        <f>J25+(J25*0.02)</f>
        <v>10.612080000000001</v>
      </c>
      <c r="M25" s="48">
        <v>65</v>
      </c>
      <c r="N25" s="48">
        <v>91</v>
      </c>
      <c r="O25" s="48">
        <f>M25+(M25*0.02)</f>
        <v>66.3</v>
      </c>
      <c r="P25" s="48">
        <f>N25+(N25*0.02)</f>
        <v>92.82</v>
      </c>
      <c r="Q25" s="34">
        <v>74</v>
      </c>
      <c r="R25" s="34">
        <v>100</v>
      </c>
    </row>
    <row r="26" spans="1:18" ht="17.100000000000001" customHeight="1">
      <c r="A26" s="41"/>
      <c r="B26" s="43" t="s">
        <v>36</v>
      </c>
      <c r="C26" s="34">
        <v>67</v>
      </c>
      <c r="D26" s="34">
        <f>TP!D26+DB!D26+DBD!D26+TX!D26+MC!D26+MN!D26+MA!D26+TG!D26+TC!D26</f>
        <v>98</v>
      </c>
      <c r="E26" s="34">
        <v>71</v>
      </c>
      <c r="F26" s="34">
        <v>101</v>
      </c>
      <c r="G26" s="48">
        <v>71</v>
      </c>
      <c r="H26" s="48">
        <f>F26+(F26*0.02)</f>
        <v>103.02</v>
      </c>
      <c r="I26" s="48">
        <v>80</v>
      </c>
      <c r="J26" s="48">
        <f>H26+(H26*0.02)</f>
        <v>105.0804</v>
      </c>
      <c r="K26" s="48">
        <v>60</v>
      </c>
      <c r="L26" s="48">
        <f>J26+(J26*0.02)</f>
        <v>107.182008</v>
      </c>
      <c r="M26" s="48">
        <v>109</v>
      </c>
      <c r="N26" s="48">
        <v>170</v>
      </c>
      <c r="O26" s="48">
        <v>110</v>
      </c>
      <c r="P26" s="48">
        <v>196</v>
      </c>
      <c r="Q26" s="34">
        <v>149</v>
      </c>
      <c r="R26" s="34">
        <v>447</v>
      </c>
    </row>
    <row r="27" spans="1:18" ht="17.100000000000001" customHeight="1">
      <c r="A27" s="44"/>
      <c r="B27" s="42" t="s">
        <v>28</v>
      </c>
      <c r="C27" s="34">
        <f>TP!C27+DB!C27+DBD!C27+TX!C27+MC!C27+MN!C27+MA!C27+TG!C27+TC!C27</f>
        <v>42</v>
      </c>
      <c r="D27" s="34">
        <f>TP!D27+DB!D27+DBD!D27+TX!D27+MC!D27+MN!D27+MA!D27+TG!D27+TC!D27</f>
        <v>19</v>
      </c>
      <c r="E27" s="34">
        <f>TP!E27+DB!E27+DBD!E27+TX!E27+MC!E27+MN!E27+MA!E27+TG!E27+TC!E27</f>
        <v>42</v>
      </c>
      <c r="F27" s="34">
        <f>TP!F27+DB!F27+DBD!F27+TX!F27+MC!F27+MN!F27+MA!F27+TG!F27+TC!F27</f>
        <v>22</v>
      </c>
      <c r="G27" s="34">
        <f>TP!G27+DB!G27+DBD!G27+TX!G27+MC!G27+MN!G27+MA!G27+TG!G27+TC!G27</f>
        <v>48</v>
      </c>
      <c r="H27" s="34">
        <f>TP!H27+DB!H27+DBD!H27+TX!H27+MC!H27+MN!H27+MA!H27+TG!H27+TC!H27</f>
        <v>23</v>
      </c>
      <c r="I27" s="34">
        <f>TP!I27+DB!I27+DBD!I27+TX!I27+MC!I27+MN!I27+MA!I27+TG!I27+TC!I27</f>
        <v>61</v>
      </c>
      <c r="J27" s="34">
        <f>TP!J27+DB!J27+DBD!J27+TX!J27+MC!J27+MN!J27+MA!J27+TG!J27+TC!J27</f>
        <v>36</v>
      </c>
      <c r="K27" s="34">
        <f>TP!K27+DB!K27+DBD!K27+TX!K27+MC!K27+MN!K27+MA!K27+TG!K27+TC!K27</f>
        <v>87</v>
      </c>
      <c r="L27" s="34">
        <f>TP!L27+DB!L27+DBD!L27+TX!L27+MC!L27+MN!L27+MA!L27+TG!L27+TC!L27</f>
        <v>93</v>
      </c>
      <c r="M27" s="34">
        <f>TP!M27+DB!M27+DBD!M27+TX!M27+MC!M27+MN!M27+MA!M27+TG!M27+TC!M27</f>
        <v>86</v>
      </c>
      <c r="N27" s="34">
        <f>TP!N27+DB!N27+DBD!N27+TX!N27+MC!N27+MN!N27+MA!N27+TG!N27+TC!N27</f>
        <v>103</v>
      </c>
      <c r="O27" s="34">
        <f>TP!O27+DB!O27+DBD!O27+TX!O27+MC!O27+MN!O27+MA!O27+TG!O27+TC!O27</f>
        <v>91</v>
      </c>
      <c r="P27" s="34">
        <f>TP!P27+DB!P27+DBD!P27+TX!P27+MC!P27+MN!P27+MA!P27+TG!P27+TC!P27</f>
        <v>201</v>
      </c>
      <c r="Q27" s="34">
        <f>Q4</f>
        <v>91</v>
      </c>
      <c r="R27" s="34">
        <f>R4</f>
        <v>682</v>
      </c>
    </row>
    <row r="28" spans="1:18" ht="17.100000000000001" customHeight="1">
      <c r="A28" s="41">
        <v>6</v>
      </c>
      <c r="B28" s="45" t="s">
        <v>42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</row>
    <row r="29" spans="1:18" ht="17.100000000000001" customHeight="1">
      <c r="A29" s="41"/>
      <c r="B29" s="49" t="s">
        <v>29</v>
      </c>
      <c r="C29" s="50">
        <f>C12/C8</f>
        <v>18.613569321533923</v>
      </c>
      <c r="D29" s="50">
        <f t="shared" ref="D29:P29" si="6">D12/D8</f>
        <v>15.481751824817518</v>
      </c>
      <c r="E29" s="50">
        <f t="shared" si="6"/>
        <v>18.206798866855525</v>
      </c>
      <c r="F29" s="50">
        <f t="shared" si="6"/>
        <v>13.981818181818182</v>
      </c>
      <c r="G29" s="50">
        <f t="shared" si="6"/>
        <v>19.432432432432432</v>
      </c>
      <c r="H29" s="50">
        <f t="shared" si="6"/>
        <v>14.027027027027026</v>
      </c>
      <c r="I29" s="50">
        <f t="shared" si="6"/>
        <v>20.426108374384235</v>
      </c>
      <c r="J29" s="50">
        <f t="shared" si="6"/>
        <v>15.662037037037036</v>
      </c>
      <c r="K29" s="50">
        <f t="shared" si="6"/>
        <v>19.722627737226276</v>
      </c>
      <c r="L29" s="50">
        <f t="shared" si="6"/>
        <v>16.095238095238095</v>
      </c>
      <c r="M29" s="50">
        <f t="shared" si="6"/>
        <v>21.079136690647481</v>
      </c>
      <c r="N29" s="50">
        <f t="shared" si="6"/>
        <v>15.759493670886076</v>
      </c>
      <c r="O29" s="50">
        <f t="shared" si="6"/>
        <v>23.344537815126049</v>
      </c>
      <c r="P29" s="50">
        <f t="shared" si="6"/>
        <v>17.181208053691275</v>
      </c>
      <c r="Q29" s="50">
        <f>Q12/Q8</f>
        <v>22.809430255402752</v>
      </c>
      <c r="R29" s="50">
        <f>R12/R8</f>
        <v>15.97020262216925</v>
      </c>
    </row>
    <row r="30" spans="1:18" ht="17.100000000000001" customHeight="1">
      <c r="A30" s="41"/>
      <c r="B30" s="49" t="s">
        <v>30</v>
      </c>
      <c r="C30" s="51">
        <f>C18/C8</f>
        <v>1.6371681415929205</v>
      </c>
      <c r="D30" s="51">
        <f t="shared" ref="D30:P30" si="7">D18/D8</f>
        <v>1.0729927007299269</v>
      </c>
      <c r="E30" s="51">
        <f t="shared" si="7"/>
        <v>1.6175637393767706</v>
      </c>
      <c r="F30" s="51">
        <f t="shared" si="7"/>
        <v>1.0060606060606061</v>
      </c>
      <c r="G30" s="51">
        <f t="shared" si="7"/>
        <v>1.5648648648648649</v>
      </c>
      <c r="H30" s="51">
        <f t="shared" si="7"/>
        <v>1.1405405405405404</v>
      </c>
      <c r="I30" s="51">
        <f t="shared" si="7"/>
        <v>1.5443349753694582</v>
      </c>
      <c r="J30" s="51">
        <f t="shared" si="7"/>
        <v>0.91203703703703709</v>
      </c>
      <c r="K30" s="51">
        <f t="shared" si="7"/>
        <v>1.5450121654501217</v>
      </c>
      <c r="L30" s="51">
        <f t="shared" si="7"/>
        <v>0.90476190476190477</v>
      </c>
      <c r="M30" s="51">
        <f t="shared" si="7"/>
        <v>1.7817745803357314</v>
      </c>
      <c r="N30" s="51">
        <f>N18/N8</f>
        <v>1</v>
      </c>
      <c r="O30" s="51">
        <f t="shared" si="7"/>
        <v>1.5210084033613445</v>
      </c>
      <c r="P30" s="51">
        <f t="shared" si="7"/>
        <v>1.0218120805369129</v>
      </c>
      <c r="Q30" s="50">
        <f>Q18/Q8</f>
        <v>1.4479371316306484</v>
      </c>
      <c r="R30" s="50">
        <f>R18/R8</f>
        <v>1.0536352800953517</v>
      </c>
    </row>
    <row r="31" spans="1:18" ht="17.100000000000001" customHeight="1">
      <c r="A31" s="41"/>
      <c r="B31" s="49" t="s">
        <v>31</v>
      </c>
      <c r="C31" s="50">
        <f>(TP!C31+DB!C31+DBD!C31+TX!C31+MC!C31+MN!C31+MA!C31+TG!C31+TC!C31)/9</f>
        <v>16.601896119226794</v>
      </c>
      <c r="D31" s="50">
        <f>(TP!D31+DB!D31+DBD!D31+TX!D31+MC!D31+MN!D31+MA!D31+TG!D31+TC!D31)/9</f>
        <v>10.388888888888889</v>
      </c>
      <c r="E31" s="50">
        <f>(TP!E31+DB!E31+DBD!E31+TX!E31+MC!E31+MN!E31+MA!E31+TG!E31+TC!E31)/9</f>
        <v>16.860517558374699</v>
      </c>
      <c r="F31" s="50">
        <f>(TP!F31+DB!F31+DBD!F31+TX!F31+MC!F31+MN!F31+MA!F31+TG!F31+TC!F31)/9</f>
        <v>10.5</v>
      </c>
      <c r="G31" s="50">
        <f>(TP!G31+DB!G31+DBD!G31+TX!G31+MC!G31+MN!G31+MA!G31+TG!G31+TC!G31)/9</f>
        <v>17.117296441214833</v>
      </c>
      <c r="H31" s="50">
        <f>(TP!H31+DB!H31+DBD!H31+TX!H31+MC!H31+MN!H31+MA!H31+TG!H31+TC!H31)/9</f>
        <v>10.5</v>
      </c>
      <c r="I31" s="50">
        <f>(TP!I31+DB!I31+DBD!I31+TX!I31+MC!I31+MN!I31+MA!I31+TG!I31+TC!I31)/9</f>
        <v>17.915795610425238</v>
      </c>
      <c r="J31" s="50">
        <f>(TP!J31+DB!J31+DBD!J31+TX!J31+MC!J31+MN!J31+MA!J31+TG!J31+TC!J31)/9</f>
        <v>10.555555555555555</v>
      </c>
      <c r="K31" s="50">
        <f>(TP!K31+DB!K31+DBD!K31+TX!K31+MC!K31+MN!K31+MA!K31+TG!K31+TC!K31)/9</f>
        <v>19.840975896531454</v>
      </c>
      <c r="L31" s="50">
        <f>(TP!L31+DB!L31+DBD!L31+TX!L31+MC!L31+MN!L31+MA!L31+TG!L31+TC!L31)/9</f>
        <v>10.5</v>
      </c>
      <c r="M31" s="50">
        <f>(TP!M31+DB!M31+DBD!M31+TX!M31+MC!M31+MN!M31+MA!M31+TG!M31+TC!M31)/9</f>
        <v>20.757289659601799</v>
      </c>
      <c r="N31" s="50">
        <f>(TP!N31+DB!N31+DBD!N31+TX!N31+MC!N31+MN!N31+MA!N31+TG!N31+TC!N31)/9</f>
        <v>10.5</v>
      </c>
      <c r="O31" s="50">
        <f>(TP!O31+DB!O31+DBD!O31+TX!O31+MC!O31+MN!O31+MA!O31+TG!O31+TC!O31)/9</f>
        <v>21.108677799069255</v>
      </c>
      <c r="P31" s="50">
        <f>(TP!P31+DB!P31+DBD!P31+TX!P31+MC!P31+MN!P31+MA!P31+TG!P31+TC!P31)/9</f>
        <v>10.555555555555555</v>
      </c>
      <c r="Q31" s="50">
        <f>(Q32+Q33)/2</f>
        <v>50.2</v>
      </c>
      <c r="R31" s="50">
        <f>(R32+R33)/2</f>
        <v>25.3</v>
      </c>
    </row>
    <row r="32" spans="1:18" ht="17.100000000000001" customHeight="1">
      <c r="A32" s="41"/>
      <c r="B32" s="49" t="s">
        <v>32</v>
      </c>
      <c r="C32" s="50">
        <f>E32-(E32*0.1)</f>
        <v>8.3980806954660014</v>
      </c>
      <c r="D32" s="50">
        <f>F32-(F32*0.07)</f>
        <v>0.25325141504854365</v>
      </c>
      <c r="E32" s="50">
        <f>G32-(G32*0.1)</f>
        <v>9.3312007727400008</v>
      </c>
      <c r="F32" s="50">
        <f>H32-(H32*0.1)</f>
        <v>0.2723133495145631</v>
      </c>
      <c r="G32" s="50">
        <f>I32-(I32*0.1)</f>
        <v>10.3680008586</v>
      </c>
      <c r="H32" s="50">
        <f>J32-(J32*0.1)</f>
        <v>0.30257038834951455</v>
      </c>
      <c r="I32" s="50">
        <f>K32-(K32*0.07)</f>
        <v>11.520000954</v>
      </c>
      <c r="J32" s="50">
        <f>L32-(L32*0.1)</f>
        <v>0.33618932038834948</v>
      </c>
      <c r="K32" s="50">
        <f>M32-(M32*0.07)</f>
        <v>12.387097800000001</v>
      </c>
      <c r="L32" s="50">
        <f>N32-(N32*0.1)</f>
        <v>0.37354368932038834</v>
      </c>
      <c r="M32" s="50">
        <f>O32-(O32*0.07)</f>
        <v>13.319460000000001</v>
      </c>
      <c r="N32" s="50">
        <f>P32-(P32*0.05)</f>
        <v>0.41504854368932037</v>
      </c>
      <c r="O32" s="50">
        <f>Q32-(Q32*0.07)</f>
        <v>14.322000000000001</v>
      </c>
      <c r="P32" s="50">
        <f>P13/309</f>
        <v>0.43689320388349512</v>
      </c>
      <c r="Q32" s="52">
        <v>15.4</v>
      </c>
      <c r="R32" s="52">
        <v>1.6</v>
      </c>
    </row>
    <row r="33" spans="1:19" ht="17.100000000000001" customHeight="1">
      <c r="A33" s="41"/>
      <c r="B33" s="49" t="s">
        <v>33</v>
      </c>
      <c r="C33" s="50">
        <f>E33-(E33*0.07)</f>
        <v>54.515692826268761</v>
      </c>
      <c r="D33" s="50">
        <f>F33-(F33*0.07)</f>
        <v>29.431866972374998</v>
      </c>
      <c r="E33" s="50">
        <f>G33-(G33*0.07)</f>
        <v>58.619024544375009</v>
      </c>
      <c r="F33" s="50">
        <f>H33-(H33*0.1)</f>
        <v>31.647168787499997</v>
      </c>
      <c r="G33" s="50">
        <f>I33-(I33*0.07)</f>
        <v>63.031209187500011</v>
      </c>
      <c r="H33" s="50">
        <f>J33-(J33*0.1)</f>
        <v>35.163520874999996</v>
      </c>
      <c r="I33" s="50">
        <f>K33-(K33*0.07)</f>
        <v>67.77549375000001</v>
      </c>
      <c r="J33" s="50">
        <f>L33-(L33*0.07)</f>
        <v>39.070578749999996</v>
      </c>
      <c r="K33" s="50">
        <f t="shared" ref="K33:M34" si="8">M33-(M33*0.05)</f>
        <v>72.876875000000013</v>
      </c>
      <c r="L33" s="50">
        <f t="shared" si="8"/>
        <v>42.011374999999994</v>
      </c>
      <c r="M33" s="50">
        <f t="shared" si="8"/>
        <v>76.712500000000006</v>
      </c>
      <c r="N33" s="50">
        <f>P33-(P33*0.05)</f>
        <v>44.222499999999997</v>
      </c>
      <c r="O33" s="50">
        <f>Q33-(Q33*0.05)</f>
        <v>80.75</v>
      </c>
      <c r="P33" s="50">
        <f>R33-(R33*0.05)</f>
        <v>46.55</v>
      </c>
      <c r="Q33" s="50">
        <v>85</v>
      </c>
      <c r="R33" s="50">
        <v>49</v>
      </c>
    </row>
    <row r="34" spans="1:19" ht="17.100000000000001" customHeight="1">
      <c r="A34" s="53"/>
      <c r="B34" s="54" t="s">
        <v>34</v>
      </c>
      <c r="C34" s="55">
        <f>E34-(E34*0.07)</f>
        <v>63.623020333715992</v>
      </c>
      <c r="D34" s="55">
        <f>F34-(F34*0.07)</f>
        <v>24.991972014374994</v>
      </c>
      <c r="E34" s="55">
        <f>G34-(G34*0.07)</f>
        <v>68.411849821199993</v>
      </c>
      <c r="F34" s="55">
        <f>H34-(H34*0.1)</f>
        <v>26.873088187499995</v>
      </c>
      <c r="G34" s="55">
        <f>I34-(I34*0.07)</f>
        <v>73.561128839999995</v>
      </c>
      <c r="H34" s="55">
        <f>J34-(J34*0.1)</f>
        <v>29.858986874999996</v>
      </c>
      <c r="I34" s="55">
        <f>K34-(K34*0.07)</f>
        <v>79.097988000000001</v>
      </c>
      <c r="J34" s="55">
        <f>L34-(L34*0.07)</f>
        <v>33.17665208333333</v>
      </c>
      <c r="K34" s="55">
        <f t="shared" si="8"/>
        <v>85.051600000000008</v>
      </c>
      <c r="L34" s="55">
        <f t="shared" si="8"/>
        <v>35.67381944444444</v>
      </c>
      <c r="M34" s="55">
        <f t="shared" si="8"/>
        <v>89.528000000000006</v>
      </c>
      <c r="N34" s="55">
        <f>P34-(P34*0.05)</f>
        <v>37.551388888888887</v>
      </c>
      <c r="O34" s="55">
        <f>Q34-(Q34*0.05)</f>
        <v>94.240000000000009</v>
      </c>
      <c r="P34" s="55">
        <f>P15/108</f>
        <v>39.527777777777779</v>
      </c>
      <c r="Q34" s="55">
        <v>99.2</v>
      </c>
      <c r="R34" s="55">
        <v>85.3</v>
      </c>
      <c r="S34" s="56"/>
    </row>
    <row r="35" spans="1:19" ht="15.75" customHeight="1">
      <c r="C35" s="57"/>
      <c r="E35" s="57"/>
      <c r="G35" s="57"/>
      <c r="I35" s="57"/>
      <c r="K35" s="57"/>
      <c r="M35" s="57"/>
      <c r="O35" s="57"/>
      <c r="Q35" s="57"/>
    </row>
    <row r="36" spans="1:19"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</row>
    <row r="37" spans="1:19"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</row>
    <row r="38" spans="1:19"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</row>
  </sheetData>
  <mergeCells count="11">
    <mergeCell ref="Q2:R2"/>
    <mergeCell ref="A1:R1"/>
    <mergeCell ref="G2:H2"/>
    <mergeCell ref="I2:J2"/>
    <mergeCell ref="K2:L2"/>
    <mergeCell ref="M2:N2"/>
    <mergeCell ref="A2:A3"/>
    <mergeCell ref="B2:B3"/>
    <mergeCell ref="C2:D2"/>
    <mergeCell ref="E2:F2"/>
    <mergeCell ref="O2:P2"/>
  </mergeCells>
  <phoneticPr fontId="0" type="noConversion"/>
  <printOptions horizontalCentered="1"/>
  <pageMargins left="0.25" right="0.25" top="0.24" bottom="0.25" header="0.22" footer="0.2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62"/>
  <sheetViews>
    <sheetView topLeftCell="A7" workbookViewId="0">
      <selection activeCell="M8" sqref="M8"/>
    </sheetView>
  </sheetViews>
  <sheetFormatPr defaultColWidth="8.875" defaultRowHeight="15"/>
  <cols>
    <col min="1" max="1" width="3.5" style="690" customWidth="1"/>
    <col min="2" max="2" width="14.625" style="664" customWidth="1"/>
    <col min="3" max="3" width="5.625" style="664" customWidth="1"/>
    <col min="4" max="4" width="4.875" style="691" customWidth="1"/>
    <col min="5" max="5" width="5.25" style="647" customWidth="1"/>
    <col min="6" max="6" width="5.5" style="647" customWidth="1"/>
    <col min="7" max="7" width="5.375" style="647" customWidth="1"/>
    <col min="8" max="8" width="5.25" style="647" customWidth="1"/>
    <col min="9" max="9" width="5.375" style="647" customWidth="1"/>
    <col min="10" max="10" width="5.5" style="647" customWidth="1"/>
    <col min="11" max="11" width="5.875" style="647" customWidth="1"/>
    <col min="12" max="12" width="5" style="647" customWidth="1"/>
    <col min="13" max="13" width="5.125" style="647" customWidth="1"/>
    <col min="14" max="14" width="5.5" style="647" customWidth="1"/>
    <col min="15" max="15" width="5.25" style="647" customWidth="1"/>
    <col min="16" max="16" width="5.625" style="647" customWidth="1"/>
    <col min="17" max="17" width="5.25" style="647" customWidth="1"/>
    <col min="18" max="18" width="6" style="647" customWidth="1"/>
    <col min="19" max="19" width="6.125" style="647" customWidth="1"/>
    <col min="20" max="20" width="5.75" style="647" customWidth="1"/>
    <col min="21" max="21" width="6" style="647" customWidth="1"/>
    <col min="22" max="22" width="4.5" style="646" customWidth="1"/>
    <col min="23" max="23" width="7.5" style="662" customWidth="1"/>
    <col min="24" max="24" width="5.125" style="663" customWidth="1"/>
    <col min="25" max="25" width="4.375" style="663" customWidth="1"/>
    <col min="26" max="41" width="8.875" style="663"/>
    <col min="42" max="16384" width="8.875" style="664"/>
  </cols>
  <sheetData>
    <row r="1" spans="1:41" ht="36.75" customHeight="1">
      <c r="A1" s="743" t="s">
        <v>1074</v>
      </c>
      <c r="B1" s="743"/>
      <c r="C1" s="743"/>
      <c r="D1" s="743"/>
      <c r="E1" s="743"/>
      <c r="F1" s="743"/>
      <c r="G1" s="743"/>
      <c r="H1" s="743"/>
      <c r="I1" s="743"/>
      <c r="J1" s="743"/>
      <c r="K1" s="743"/>
      <c r="L1" s="743"/>
      <c r="M1" s="743"/>
      <c r="N1" s="743"/>
      <c r="O1" s="743"/>
      <c r="P1" s="743"/>
      <c r="Q1" s="743"/>
      <c r="R1" s="743"/>
      <c r="S1" s="743"/>
      <c r="T1" s="743"/>
      <c r="U1" s="743"/>
      <c r="V1" s="743"/>
      <c r="W1" s="743"/>
    </row>
    <row r="2" spans="1:41" ht="21" customHeight="1">
      <c r="A2" s="742" t="s">
        <v>1075</v>
      </c>
      <c r="B2" s="742"/>
      <c r="C2" s="742"/>
      <c r="D2" s="742"/>
      <c r="E2" s="742"/>
      <c r="F2" s="742"/>
      <c r="G2" s="742"/>
      <c r="H2" s="742"/>
      <c r="I2" s="742"/>
      <c r="J2" s="742"/>
      <c r="K2" s="742"/>
      <c r="L2" s="742"/>
      <c r="M2" s="742"/>
      <c r="N2" s="742"/>
      <c r="O2" s="742"/>
      <c r="P2" s="742"/>
      <c r="Q2" s="742"/>
      <c r="R2" s="742"/>
      <c r="S2" s="742"/>
      <c r="T2" s="742"/>
      <c r="U2" s="742"/>
      <c r="V2" s="742"/>
      <c r="W2" s="742"/>
    </row>
    <row r="3" spans="1:41" ht="9" hidden="1" customHeight="1">
      <c r="A3" s="665"/>
      <c r="B3" s="666"/>
      <c r="C3" s="666"/>
      <c r="D3" s="661"/>
      <c r="E3" s="660"/>
      <c r="F3" s="660"/>
      <c r="G3" s="660"/>
      <c r="H3" s="660"/>
      <c r="I3" s="660"/>
      <c r="J3" s="660"/>
      <c r="K3" s="745"/>
      <c r="L3" s="745"/>
      <c r="M3" s="745"/>
      <c r="N3" s="745"/>
      <c r="O3" s="745"/>
      <c r="P3" s="745"/>
      <c r="Q3" s="646"/>
      <c r="R3" s="646"/>
      <c r="S3" s="744" t="s">
        <v>1072</v>
      </c>
      <c r="T3" s="744"/>
      <c r="U3" s="744"/>
      <c r="V3" s="744"/>
      <c r="W3" s="744"/>
    </row>
    <row r="4" spans="1:41" s="670" customFormat="1" ht="26.25" customHeight="1">
      <c r="A4" s="746" t="s">
        <v>1</v>
      </c>
      <c r="B4" s="747" t="s">
        <v>998</v>
      </c>
      <c r="C4" s="737" t="s">
        <v>760</v>
      </c>
      <c r="D4" s="750" t="s">
        <v>83</v>
      </c>
      <c r="E4" s="738" t="s">
        <v>770</v>
      </c>
      <c r="F4" s="738"/>
      <c r="G4" s="738"/>
      <c r="H4" s="738"/>
      <c r="I4" s="738"/>
      <c r="J4" s="738"/>
      <c r="K4" s="738"/>
      <c r="L4" s="738"/>
      <c r="M4" s="738"/>
      <c r="N4" s="738"/>
      <c r="O4" s="738"/>
      <c r="P4" s="738"/>
      <c r="Q4" s="738"/>
      <c r="R4" s="738"/>
      <c r="S4" s="738"/>
      <c r="T4" s="738"/>
      <c r="U4" s="738"/>
      <c r="V4" s="738"/>
      <c r="W4" s="748" t="s">
        <v>997</v>
      </c>
      <c r="X4" s="668"/>
      <c r="Y4" s="669"/>
      <c r="Z4" s="669"/>
      <c r="AA4" s="669"/>
      <c r="AB4" s="669"/>
      <c r="AC4" s="669"/>
      <c r="AD4" s="669"/>
      <c r="AE4" s="669"/>
      <c r="AF4" s="669"/>
      <c r="AG4" s="669"/>
      <c r="AH4" s="669"/>
      <c r="AI4" s="669"/>
      <c r="AJ4" s="669"/>
      <c r="AK4" s="669"/>
      <c r="AL4" s="669"/>
      <c r="AM4" s="669"/>
      <c r="AN4" s="669"/>
      <c r="AO4" s="669"/>
    </row>
    <row r="5" spans="1:41" s="670" customFormat="1" ht="62.25" customHeight="1">
      <c r="A5" s="746"/>
      <c r="B5" s="747"/>
      <c r="C5" s="737"/>
      <c r="D5" s="750"/>
      <c r="E5" s="645" t="s">
        <v>1057</v>
      </c>
      <c r="F5" s="645" t="s">
        <v>1058</v>
      </c>
      <c r="G5" s="645" t="s">
        <v>1051</v>
      </c>
      <c r="H5" s="645" t="s">
        <v>1047</v>
      </c>
      <c r="I5" s="645" t="s">
        <v>1059</v>
      </c>
      <c r="J5" s="645" t="s">
        <v>1050</v>
      </c>
      <c r="K5" s="645" t="s">
        <v>1049</v>
      </c>
      <c r="L5" s="645" t="s">
        <v>1052</v>
      </c>
      <c r="M5" s="645" t="s">
        <v>1066</v>
      </c>
      <c r="N5" s="645" t="s">
        <v>1060</v>
      </c>
      <c r="O5" s="645" t="s">
        <v>1061</v>
      </c>
      <c r="P5" s="645" t="s">
        <v>1062</v>
      </c>
      <c r="Q5" s="645" t="s">
        <v>1063</v>
      </c>
      <c r="R5" s="645" t="s">
        <v>1064</v>
      </c>
      <c r="S5" s="645" t="s">
        <v>1068</v>
      </c>
      <c r="T5" s="645" t="s">
        <v>1056</v>
      </c>
      <c r="U5" s="645" t="s">
        <v>1065</v>
      </c>
      <c r="V5" s="645" t="s">
        <v>1067</v>
      </c>
      <c r="W5" s="749"/>
      <c r="X5" s="668"/>
      <c r="Y5" s="669"/>
      <c r="Z5" s="669"/>
      <c r="AA5" s="669"/>
      <c r="AB5" s="669"/>
      <c r="AC5" s="669"/>
      <c r="AD5" s="669"/>
      <c r="AE5" s="669"/>
      <c r="AF5" s="669"/>
      <c r="AG5" s="669"/>
      <c r="AH5" s="669"/>
      <c r="AI5" s="669"/>
      <c r="AJ5" s="669"/>
      <c r="AK5" s="669"/>
      <c r="AL5" s="669"/>
      <c r="AM5" s="669"/>
      <c r="AN5" s="669"/>
      <c r="AO5" s="669"/>
    </row>
    <row r="6" spans="1:41" s="672" customFormat="1" ht="27" customHeight="1">
      <c r="A6" s="653"/>
      <c r="B6" s="671" t="s">
        <v>1020</v>
      </c>
      <c r="C6" s="652"/>
      <c r="D6" s="667"/>
      <c r="E6" s="639"/>
      <c r="F6" s="639"/>
      <c r="G6" s="639"/>
      <c r="H6" s="639"/>
      <c r="I6" s="639"/>
      <c r="J6" s="639"/>
      <c r="K6" s="639"/>
      <c r="L6" s="639"/>
      <c r="M6" s="639"/>
      <c r="N6" s="639"/>
      <c r="O6" s="639"/>
      <c r="P6" s="657"/>
      <c r="Q6" s="639"/>
      <c r="R6" s="639"/>
      <c r="S6" s="639"/>
      <c r="T6" s="639"/>
      <c r="U6" s="639"/>
      <c r="V6" s="639"/>
      <c r="W6" s="648"/>
      <c r="X6" s="640"/>
      <c r="Y6" s="640"/>
      <c r="Z6" s="640"/>
      <c r="AA6" s="640"/>
      <c r="AB6" s="640"/>
      <c r="AC6" s="640"/>
      <c r="AD6" s="640"/>
      <c r="AE6" s="640"/>
      <c r="AF6" s="640"/>
      <c r="AG6" s="640"/>
      <c r="AH6" s="640"/>
      <c r="AI6" s="640"/>
      <c r="AJ6" s="640"/>
      <c r="AK6" s="640"/>
      <c r="AL6" s="640"/>
      <c r="AM6" s="640"/>
      <c r="AN6" s="640"/>
      <c r="AO6" s="640"/>
    </row>
    <row r="7" spans="1:41" s="672" customFormat="1" ht="42" customHeight="1">
      <c r="A7" s="673">
        <v>1</v>
      </c>
      <c r="B7" s="674" t="s">
        <v>1021</v>
      </c>
      <c r="C7" s="651" t="s">
        <v>770</v>
      </c>
      <c r="D7" s="667">
        <v>18</v>
      </c>
      <c r="E7" s="639">
        <v>1</v>
      </c>
      <c r="F7" s="639">
        <v>1</v>
      </c>
      <c r="G7" s="639">
        <v>1</v>
      </c>
      <c r="H7" s="639">
        <v>1</v>
      </c>
      <c r="I7" s="639">
        <v>1</v>
      </c>
      <c r="J7" s="639">
        <v>1</v>
      </c>
      <c r="K7" s="639">
        <v>1</v>
      </c>
      <c r="L7" s="639">
        <v>1</v>
      </c>
      <c r="M7" s="639">
        <v>1</v>
      </c>
      <c r="N7" s="639">
        <v>1</v>
      </c>
      <c r="O7" s="639">
        <v>1</v>
      </c>
      <c r="P7" s="639">
        <v>1</v>
      </c>
      <c r="Q7" s="639">
        <v>1</v>
      </c>
      <c r="R7" s="639">
        <v>1</v>
      </c>
      <c r="S7" s="639">
        <v>1</v>
      </c>
      <c r="T7" s="639">
        <v>1</v>
      </c>
      <c r="U7" s="639">
        <v>1</v>
      </c>
      <c r="V7" s="639">
        <v>1</v>
      </c>
      <c r="W7" s="648"/>
      <c r="X7" s="640"/>
      <c r="Y7" s="640"/>
      <c r="Z7" s="640"/>
      <c r="AA7" s="640"/>
      <c r="AB7" s="640"/>
      <c r="AC7" s="640"/>
      <c r="AD7" s="640"/>
      <c r="AE7" s="640"/>
      <c r="AF7" s="640"/>
      <c r="AG7" s="640"/>
      <c r="AH7" s="640"/>
      <c r="AI7" s="640"/>
      <c r="AJ7" s="640"/>
      <c r="AK7" s="640"/>
      <c r="AL7" s="640"/>
      <c r="AM7" s="640"/>
      <c r="AN7" s="640"/>
      <c r="AO7" s="640"/>
    </row>
    <row r="8" spans="1:41" s="677" customFormat="1" ht="45.75" customHeight="1">
      <c r="A8" s="673">
        <v>2</v>
      </c>
      <c r="B8" s="674" t="s">
        <v>1001</v>
      </c>
      <c r="C8" s="675"/>
      <c r="D8" s="667"/>
      <c r="E8" s="643"/>
      <c r="F8" s="643"/>
      <c r="G8" s="643"/>
      <c r="H8" s="643"/>
      <c r="I8" s="643"/>
      <c r="J8" s="643"/>
      <c r="K8" s="639"/>
      <c r="L8" s="639"/>
      <c r="M8" s="639"/>
      <c r="N8" s="639"/>
      <c r="O8" s="639"/>
      <c r="P8" s="639"/>
      <c r="Q8" s="639"/>
      <c r="R8" s="643"/>
      <c r="S8" s="643"/>
      <c r="T8" s="643"/>
      <c r="U8" s="667"/>
      <c r="V8" s="667"/>
      <c r="W8" s="676"/>
      <c r="X8" s="644"/>
      <c r="Y8" s="644"/>
      <c r="Z8" s="644"/>
      <c r="AA8" s="644"/>
      <c r="AB8" s="644"/>
      <c r="AC8" s="644"/>
      <c r="AD8" s="644"/>
      <c r="AE8" s="644"/>
      <c r="AF8" s="644"/>
      <c r="AG8" s="644"/>
      <c r="AH8" s="644"/>
      <c r="AI8" s="644"/>
      <c r="AJ8" s="644"/>
      <c r="AK8" s="644"/>
      <c r="AL8" s="644"/>
      <c r="AM8" s="644"/>
      <c r="AN8" s="644"/>
      <c r="AO8" s="644"/>
    </row>
    <row r="9" spans="1:41" s="641" customFormat="1" ht="51" customHeight="1">
      <c r="A9" s="653">
        <v>2.1</v>
      </c>
      <c r="B9" s="650" t="s">
        <v>1022</v>
      </c>
      <c r="C9" s="651" t="s">
        <v>1006</v>
      </c>
      <c r="D9" s="667">
        <f>SUM(E9:V9)</f>
        <v>1000</v>
      </c>
      <c r="E9" s="639">
        <v>50</v>
      </c>
      <c r="F9" s="639">
        <v>50</v>
      </c>
      <c r="G9" s="639">
        <v>50</v>
      </c>
      <c r="H9" s="639">
        <v>50</v>
      </c>
      <c r="I9" s="639">
        <v>50</v>
      </c>
      <c r="J9" s="639">
        <v>50</v>
      </c>
      <c r="K9" s="639">
        <v>50</v>
      </c>
      <c r="L9" s="639">
        <v>50</v>
      </c>
      <c r="M9" s="639">
        <v>50</v>
      </c>
      <c r="N9" s="639">
        <v>70</v>
      </c>
      <c r="O9" s="639">
        <v>70</v>
      </c>
      <c r="P9" s="639">
        <v>50</v>
      </c>
      <c r="Q9" s="639">
        <v>70</v>
      </c>
      <c r="R9" s="639">
        <v>70</v>
      </c>
      <c r="S9" s="639">
        <v>50</v>
      </c>
      <c r="T9" s="639">
        <v>70</v>
      </c>
      <c r="U9" s="639">
        <v>50</v>
      </c>
      <c r="V9" s="639">
        <v>50</v>
      </c>
      <c r="W9" s="648"/>
      <c r="X9" s="640"/>
      <c r="Y9" s="640"/>
      <c r="Z9" s="640"/>
      <c r="AA9" s="640"/>
      <c r="AB9" s="640"/>
      <c r="AC9" s="640"/>
      <c r="AD9" s="640"/>
      <c r="AE9" s="640"/>
      <c r="AF9" s="640"/>
      <c r="AG9" s="640"/>
      <c r="AH9" s="640"/>
      <c r="AI9" s="640"/>
      <c r="AJ9" s="640"/>
      <c r="AK9" s="640"/>
      <c r="AL9" s="640"/>
      <c r="AM9" s="640"/>
      <c r="AN9" s="640"/>
      <c r="AO9" s="640"/>
    </row>
    <row r="10" spans="1:41" s="642" customFormat="1" ht="48" customHeight="1">
      <c r="A10" s="653">
        <v>2.2000000000000002</v>
      </c>
      <c r="B10" s="650" t="s">
        <v>1023</v>
      </c>
      <c r="C10" s="651" t="s">
        <v>1003</v>
      </c>
      <c r="D10" s="667">
        <f t="shared" ref="D10:D37" si="0">SUM(E10:V10)</f>
        <v>2</v>
      </c>
      <c r="Q10" s="639">
        <v>1</v>
      </c>
      <c r="R10" s="639">
        <v>1</v>
      </c>
      <c r="S10" s="639"/>
      <c r="T10" s="639"/>
      <c r="U10" s="639"/>
      <c r="V10" s="639"/>
      <c r="W10" s="648"/>
      <c r="X10" s="640"/>
      <c r="Y10" s="640"/>
      <c r="Z10" s="640"/>
      <c r="AA10" s="640"/>
      <c r="AB10" s="640"/>
      <c r="AC10" s="640"/>
      <c r="AD10" s="640"/>
      <c r="AE10" s="640"/>
      <c r="AF10" s="640"/>
      <c r="AG10" s="640"/>
      <c r="AH10" s="640"/>
      <c r="AI10" s="640"/>
      <c r="AJ10" s="640"/>
      <c r="AK10" s="640"/>
      <c r="AL10" s="640"/>
      <c r="AM10" s="640"/>
      <c r="AN10" s="640"/>
      <c r="AO10" s="640"/>
    </row>
    <row r="11" spans="1:41" s="642" customFormat="1" ht="52.5" customHeight="1">
      <c r="A11" s="653">
        <v>2.2999999999999998</v>
      </c>
      <c r="B11" s="650" t="s">
        <v>1024</v>
      </c>
      <c r="C11" s="651" t="s">
        <v>1006</v>
      </c>
      <c r="D11" s="667">
        <f>SUM(E11:V11)</f>
        <v>100</v>
      </c>
      <c r="E11" s="639">
        <v>5</v>
      </c>
      <c r="F11" s="639">
        <v>5</v>
      </c>
      <c r="G11" s="639">
        <v>5</v>
      </c>
      <c r="H11" s="639">
        <v>5</v>
      </c>
      <c r="I11" s="639">
        <v>5</v>
      </c>
      <c r="J11" s="639">
        <v>5</v>
      </c>
      <c r="K11" s="639">
        <v>5</v>
      </c>
      <c r="L11" s="639">
        <v>5</v>
      </c>
      <c r="M11" s="639">
        <v>5</v>
      </c>
      <c r="N11" s="639">
        <v>5</v>
      </c>
      <c r="O11" s="639">
        <v>10</v>
      </c>
      <c r="P11" s="639">
        <v>5</v>
      </c>
      <c r="Q11" s="639">
        <v>5</v>
      </c>
      <c r="R11" s="639">
        <v>7</v>
      </c>
      <c r="S11" s="639">
        <v>6</v>
      </c>
      <c r="T11" s="639">
        <v>7</v>
      </c>
      <c r="U11" s="639">
        <v>5</v>
      </c>
      <c r="V11" s="639">
        <v>5</v>
      </c>
      <c r="W11" s="648"/>
      <c r="X11" s="640"/>
      <c r="Y11" s="640"/>
      <c r="Z11" s="640"/>
      <c r="AA11" s="640"/>
      <c r="AB11" s="640"/>
      <c r="AC11" s="640"/>
      <c r="AD11" s="640"/>
      <c r="AE11" s="640"/>
      <c r="AF11" s="640"/>
      <c r="AG11" s="640"/>
      <c r="AH11" s="640"/>
      <c r="AI11" s="640"/>
      <c r="AJ11" s="640"/>
      <c r="AK11" s="640"/>
      <c r="AL11" s="640"/>
      <c r="AM11" s="640"/>
      <c r="AN11" s="640"/>
      <c r="AO11" s="640"/>
    </row>
    <row r="12" spans="1:41" s="655" customFormat="1" ht="44.25" customHeight="1">
      <c r="A12" s="653">
        <v>2.4</v>
      </c>
      <c r="B12" s="650" t="s">
        <v>1025</v>
      </c>
      <c r="C12" s="651" t="s">
        <v>1026</v>
      </c>
      <c r="D12" s="667">
        <f t="shared" si="0"/>
        <v>150</v>
      </c>
      <c r="E12" s="639">
        <v>10</v>
      </c>
      <c r="F12" s="639">
        <v>10</v>
      </c>
      <c r="G12" s="639">
        <v>10</v>
      </c>
      <c r="H12" s="639">
        <v>10</v>
      </c>
      <c r="I12" s="639">
        <v>10</v>
      </c>
      <c r="J12" s="639">
        <v>10</v>
      </c>
      <c r="K12" s="639">
        <v>5</v>
      </c>
      <c r="L12" s="639">
        <v>5</v>
      </c>
      <c r="M12" s="639">
        <v>5</v>
      </c>
      <c r="N12" s="639">
        <v>10</v>
      </c>
      <c r="O12" s="639">
        <v>10</v>
      </c>
      <c r="P12" s="639">
        <v>10</v>
      </c>
      <c r="Q12" s="639">
        <v>10</v>
      </c>
      <c r="R12" s="639">
        <v>10</v>
      </c>
      <c r="S12" s="639">
        <v>5</v>
      </c>
      <c r="T12" s="639">
        <v>10</v>
      </c>
      <c r="U12" s="639">
        <v>5</v>
      </c>
      <c r="V12" s="639">
        <v>5</v>
      </c>
      <c r="W12" s="648"/>
      <c r="X12" s="640"/>
      <c r="Y12" s="654"/>
      <c r="Z12" s="654"/>
      <c r="AA12" s="654"/>
      <c r="AB12" s="654"/>
      <c r="AC12" s="654"/>
      <c r="AD12" s="654"/>
      <c r="AE12" s="654"/>
      <c r="AF12" s="654"/>
      <c r="AG12" s="654"/>
      <c r="AH12" s="654"/>
      <c r="AI12" s="654"/>
      <c r="AJ12" s="654"/>
      <c r="AK12" s="654"/>
      <c r="AL12" s="654"/>
      <c r="AM12" s="654"/>
      <c r="AN12" s="654"/>
      <c r="AO12" s="654"/>
    </row>
    <row r="13" spans="1:41" s="678" customFormat="1" ht="54" customHeight="1">
      <c r="A13" s="653">
        <v>2.5</v>
      </c>
      <c r="B13" s="650" t="s">
        <v>1009</v>
      </c>
      <c r="C13" s="651" t="s">
        <v>770</v>
      </c>
      <c r="D13" s="667">
        <f t="shared" si="0"/>
        <v>18</v>
      </c>
      <c r="E13" s="639">
        <v>1</v>
      </c>
      <c r="F13" s="639">
        <v>1</v>
      </c>
      <c r="G13" s="639">
        <v>1</v>
      </c>
      <c r="H13" s="639">
        <v>1</v>
      </c>
      <c r="I13" s="639">
        <v>1</v>
      </c>
      <c r="J13" s="639">
        <v>1</v>
      </c>
      <c r="K13" s="639">
        <v>1</v>
      </c>
      <c r="L13" s="639">
        <v>1</v>
      </c>
      <c r="M13" s="639">
        <v>1</v>
      </c>
      <c r="N13" s="639">
        <v>1</v>
      </c>
      <c r="O13" s="639">
        <v>1</v>
      </c>
      <c r="P13" s="639">
        <v>1</v>
      </c>
      <c r="Q13" s="639">
        <v>1</v>
      </c>
      <c r="R13" s="639">
        <v>1</v>
      </c>
      <c r="S13" s="639">
        <v>1</v>
      </c>
      <c r="T13" s="639">
        <v>1</v>
      </c>
      <c r="U13" s="639">
        <v>1</v>
      </c>
      <c r="V13" s="639">
        <v>1</v>
      </c>
      <c r="W13" s="648"/>
      <c r="X13" s="640"/>
      <c r="Y13" s="640"/>
      <c r="Z13" s="640"/>
      <c r="AA13" s="640"/>
      <c r="AB13" s="640"/>
      <c r="AC13" s="640"/>
      <c r="AD13" s="640"/>
      <c r="AE13" s="640"/>
      <c r="AF13" s="640"/>
      <c r="AG13" s="640"/>
      <c r="AH13" s="640"/>
      <c r="AI13" s="640"/>
      <c r="AJ13" s="640"/>
      <c r="AK13" s="640"/>
      <c r="AL13" s="640"/>
      <c r="AM13" s="640"/>
      <c r="AN13" s="640"/>
      <c r="AO13" s="640"/>
    </row>
    <row r="14" spans="1:41" s="677" customFormat="1" ht="57.75" customHeight="1">
      <c r="A14" s="673">
        <v>3</v>
      </c>
      <c r="B14" s="733" t="s">
        <v>1027</v>
      </c>
      <c r="C14" s="734"/>
      <c r="D14" s="667"/>
      <c r="E14" s="643"/>
      <c r="F14" s="643"/>
      <c r="G14" s="643"/>
      <c r="H14" s="643"/>
      <c r="I14" s="643"/>
      <c r="J14" s="643"/>
      <c r="K14" s="639"/>
      <c r="L14" s="639"/>
      <c r="M14" s="639"/>
      <c r="N14" s="639"/>
      <c r="O14" s="639"/>
      <c r="P14" s="639"/>
      <c r="Q14" s="639"/>
      <c r="R14" s="643"/>
      <c r="S14" s="643"/>
      <c r="T14" s="643"/>
      <c r="U14" s="667"/>
      <c r="V14" s="667"/>
      <c r="W14" s="676"/>
      <c r="X14" s="644"/>
      <c r="Y14" s="644"/>
      <c r="Z14" s="644"/>
      <c r="AA14" s="644"/>
      <c r="AB14" s="644"/>
      <c r="AC14" s="644"/>
      <c r="AD14" s="644"/>
      <c r="AE14" s="644"/>
      <c r="AF14" s="644"/>
      <c r="AG14" s="644"/>
      <c r="AH14" s="644"/>
      <c r="AI14" s="644"/>
      <c r="AJ14" s="644"/>
      <c r="AK14" s="644"/>
      <c r="AL14" s="644"/>
      <c r="AM14" s="644"/>
      <c r="AN14" s="644"/>
      <c r="AO14" s="644"/>
    </row>
    <row r="15" spans="1:41" s="641" customFormat="1" ht="108.75" customHeight="1">
      <c r="A15" s="653">
        <v>3.1</v>
      </c>
      <c r="B15" s="650" t="s">
        <v>1040</v>
      </c>
      <c r="C15" s="651" t="s">
        <v>996</v>
      </c>
      <c r="D15" s="667">
        <f t="shared" si="0"/>
        <v>18</v>
      </c>
      <c r="E15" s="639">
        <v>1</v>
      </c>
      <c r="F15" s="639">
        <v>1</v>
      </c>
      <c r="G15" s="639">
        <v>1</v>
      </c>
      <c r="H15" s="639">
        <v>1</v>
      </c>
      <c r="I15" s="639">
        <v>1</v>
      </c>
      <c r="J15" s="639">
        <v>1</v>
      </c>
      <c r="K15" s="639">
        <v>1</v>
      </c>
      <c r="L15" s="639">
        <v>1</v>
      </c>
      <c r="M15" s="639">
        <v>1</v>
      </c>
      <c r="N15" s="639">
        <v>1</v>
      </c>
      <c r="O15" s="639">
        <v>1</v>
      </c>
      <c r="P15" s="639">
        <v>1</v>
      </c>
      <c r="Q15" s="639">
        <v>1</v>
      </c>
      <c r="R15" s="639">
        <v>1</v>
      </c>
      <c r="S15" s="639">
        <v>1</v>
      </c>
      <c r="T15" s="639">
        <v>1</v>
      </c>
      <c r="U15" s="639">
        <v>1</v>
      </c>
      <c r="V15" s="639">
        <v>1</v>
      </c>
      <c r="W15" s="648"/>
      <c r="X15" s="640"/>
      <c r="Y15" s="640"/>
      <c r="Z15" s="640"/>
      <c r="AA15" s="640"/>
      <c r="AB15" s="640"/>
      <c r="AC15" s="640"/>
      <c r="AD15" s="640"/>
      <c r="AE15" s="640"/>
      <c r="AF15" s="640"/>
      <c r="AG15" s="640"/>
      <c r="AH15" s="640"/>
      <c r="AI15" s="640"/>
      <c r="AJ15" s="640"/>
      <c r="AK15" s="640"/>
      <c r="AL15" s="640"/>
      <c r="AM15" s="640"/>
      <c r="AN15" s="640"/>
      <c r="AO15" s="640"/>
    </row>
    <row r="16" spans="1:41" s="642" customFormat="1" ht="126" customHeight="1">
      <c r="A16" s="653">
        <v>3.2</v>
      </c>
      <c r="B16" s="650" t="s">
        <v>1028</v>
      </c>
      <c r="C16" s="651" t="s">
        <v>996</v>
      </c>
      <c r="D16" s="667">
        <f t="shared" si="0"/>
        <v>18</v>
      </c>
      <c r="E16" s="639">
        <v>1</v>
      </c>
      <c r="F16" s="639">
        <v>1</v>
      </c>
      <c r="G16" s="639">
        <v>1</v>
      </c>
      <c r="H16" s="639">
        <v>1</v>
      </c>
      <c r="I16" s="639">
        <v>1</v>
      </c>
      <c r="J16" s="639">
        <v>1</v>
      </c>
      <c r="K16" s="639">
        <v>1</v>
      </c>
      <c r="L16" s="639">
        <v>1</v>
      </c>
      <c r="M16" s="639">
        <v>1</v>
      </c>
      <c r="N16" s="639">
        <v>1</v>
      </c>
      <c r="O16" s="639">
        <v>1</v>
      </c>
      <c r="P16" s="639">
        <v>1</v>
      </c>
      <c r="Q16" s="639">
        <v>1</v>
      </c>
      <c r="R16" s="639">
        <v>1</v>
      </c>
      <c r="S16" s="639">
        <v>1</v>
      </c>
      <c r="T16" s="639">
        <v>1</v>
      </c>
      <c r="U16" s="639">
        <v>1</v>
      </c>
      <c r="V16" s="639">
        <v>1</v>
      </c>
      <c r="W16" s="648"/>
      <c r="X16" s="640"/>
      <c r="Y16" s="640"/>
      <c r="Z16" s="640"/>
      <c r="AA16" s="640"/>
      <c r="AB16" s="640"/>
      <c r="AC16" s="640"/>
      <c r="AD16" s="640"/>
      <c r="AE16" s="640"/>
      <c r="AF16" s="640"/>
      <c r="AG16" s="640"/>
      <c r="AH16" s="640"/>
      <c r="AI16" s="640"/>
      <c r="AJ16" s="640"/>
      <c r="AK16" s="640"/>
      <c r="AL16" s="640"/>
      <c r="AM16" s="640"/>
      <c r="AN16" s="640"/>
      <c r="AO16" s="640"/>
    </row>
    <row r="17" spans="1:41" s="692" customFormat="1" ht="80.25" customHeight="1">
      <c r="A17" s="653">
        <v>3.3</v>
      </c>
      <c r="B17" s="650" t="s">
        <v>1029</v>
      </c>
      <c r="C17" s="651" t="s">
        <v>996</v>
      </c>
      <c r="D17" s="667">
        <f t="shared" si="0"/>
        <v>30</v>
      </c>
      <c r="E17" s="639"/>
      <c r="F17" s="639"/>
      <c r="G17" s="639"/>
      <c r="H17" s="639"/>
      <c r="I17" s="639"/>
      <c r="J17" s="639"/>
      <c r="K17" s="639"/>
      <c r="L17" s="639">
        <v>1</v>
      </c>
      <c r="M17" s="639">
        <v>1</v>
      </c>
      <c r="N17" s="639">
        <v>4</v>
      </c>
      <c r="O17" s="639">
        <v>4</v>
      </c>
      <c r="P17" s="639">
        <v>3</v>
      </c>
      <c r="Q17" s="639">
        <v>4</v>
      </c>
      <c r="R17" s="639">
        <v>4</v>
      </c>
      <c r="S17" s="639">
        <v>2</v>
      </c>
      <c r="T17" s="639">
        <v>4</v>
      </c>
      <c r="U17" s="639">
        <v>2</v>
      </c>
      <c r="V17" s="639">
        <v>1</v>
      </c>
      <c r="W17" s="676"/>
      <c r="X17" s="644"/>
      <c r="Y17" s="656"/>
      <c r="Z17" s="656"/>
      <c r="AA17" s="656"/>
      <c r="AB17" s="656"/>
      <c r="AC17" s="656"/>
      <c r="AD17" s="656"/>
      <c r="AE17" s="656"/>
      <c r="AF17" s="656"/>
      <c r="AG17" s="656"/>
      <c r="AH17" s="656"/>
      <c r="AI17" s="656"/>
      <c r="AJ17" s="656"/>
      <c r="AK17" s="656"/>
      <c r="AL17" s="656"/>
      <c r="AM17" s="656"/>
      <c r="AN17" s="656"/>
      <c r="AO17" s="656"/>
    </row>
    <row r="18" spans="1:41" s="678" customFormat="1" ht="57" customHeight="1">
      <c r="A18" s="653">
        <v>3.4</v>
      </c>
      <c r="B18" s="650" t="s">
        <v>1037</v>
      </c>
      <c r="C18" s="651" t="s">
        <v>770</v>
      </c>
      <c r="D18" s="667">
        <f t="shared" si="0"/>
        <v>18</v>
      </c>
      <c r="E18" s="639">
        <v>1</v>
      </c>
      <c r="F18" s="639">
        <v>1</v>
      </c>
      <c r="G18" s="639">
        <v>1</v>
      </c>
      <c r="H18" s="639">
        <v>1</v>
      </c>
      <c r="I18" s="639">
        <v>1</v>
      </c>
      <c r="J18" s="639">
        <v>1</v>
      </c>
      <c r="K18" s="639">
        <v>1</v>
      </c>
      <c r="L18" s="639">
        <v>1</v>
      </c>
      <c r="M18" s="639">
        <v>1</v>
      </c>
      <c r="N18" s="639">
        <v>1</v>
      </c>
      <c r="O18" s="639">
        <v>1</v>
      </c>
      <c r="P18" s="639">
        <v>1</v>
      </c>
      <c r="Q18" s="639">
        <v>1</v>
      </c>
      <c r="R18" s="639">
        <v>1</v>
      </c>
      <c r="S18" s="639">
        <v>1</v>
      </c>
      <c r="T18" s="639">
        <v>1</v>
      </c>
      <c r="U18" s="639">
        <v>1</v>
      </c>
      <c r="V18" s="639">
        <v>1</v>
      </c>
      <c r="W18" s="648"/>
      <c r="X18" s="640"/>
      <c r="Y18" s="640"/>
      <c r="Z18" s="640"/>
      <c r="AA18" s="640"/>
      <c r="AB18" s="640"/>
      <c r="AC18" s="640"/>
      <c r="AD18" s="640"/>
      <c r="AE18" s="640"/>
      <c r="AF18" s="640"/>
      <c r="AG18" s="640"/>
      <c r="AH18" s="640"/>
      <c r="AI18" s="640"/>
      <c r="AJ18" s="640"/>
      <c r="AK18" s="640"/>
      <c r="AL18" s="640"/>
      <c r="AM18" s="640"/>
      <c r="AN18" s="640"/>
      <c r="AO18" s="640"/>
    </row>
    <row r="19" spans="1:41" s="677" customFormat="1" ht="45.75" customHeight="1">
      <c r="A19" s="673">
        <v>4</v>
      </c>
      <c r="B19" s="674" t="s">
        <v>1014</v>
      </c>
      <c r="C19" s="675"/>
      <c r="D19" s="667"/>
      <c r="E19" s="643"/>
      <c r="F19" s="643"/>
      <c r="G19" s="643"/>
      <c r="H19" s="643"/>
      <c r="I19" s="643"/>
      <c r="J19" s="643"/>
      <c r="K19" s="639"/>
      <c r="L19" s="639"/>
      <c r="M19" s="639"/>
      <c r="N19" s="639"/>
      <c r="O19" s="639"/>
      <c r="P19" s="639"/>
      <c r="Q19" s="639"/>
      <c r="R19" s="643"/>
      <c r="S19" s="643"/>
      <c r="T19" s="643"/>
      <c r="U19" s="667"/>
      <c r="V19" s="667"/>
      <c r="W19" s="676"/>
      <c r="X19" s="644"/>
      <c r="Y19" s="644"/>
      <c r="Z19" s="644"/>
      <c r="AA19" s="644"/>
      <c r="AB19" s="644"/>
      <c r="AC19" s="644"/>
      <c r="AD19" s="644"/>
      <c r="AE19" s="644"/>
      <c r="AF19" s="644"/>
      <c r="AG19" s="644"/>
      <c r="AH19" s="644"/>
      <c r="AI19" s="644"/>
      <c r="AJ19" s="644"/>
      <c r="AK19" s="644"/>
      <c r="AL19" s="644"/>
      <c r="AM19" s="644"/>
      <c r="AN19" s="644"/>
      <c r="AO19" s="644"/>
    </row>
    <row r="20" spans="1:41" s="642" customFormat="1" ht="51.75" customHeight="1">
      <c r="A20" s="653">
        <v>4.0999999999999996</v>
      </c>
      <c r="B20" s="650" t="s">
        <v>1073</v>
      </c>
      <c r="C20" s="651" t="s">
        <v>996</v>
      </c>
      <c r="D20" s="667">
        <f t="shared" si="0"/>
        <v>18</v>
      </c>
      <c r="E20" s="639">
        <v>1</v>
      </c>
      <c r="F20" s="639">
        <v>1</v>
      </c>
      <c r="G20" s="639">
        <v>1</v>
      </c>
      <c r="H20" s="639">
        <v>1</v>
      </c>
      <c r="I20" s="639">
        <v>1</v>
      </c>
      <c r="J20" s="639">
        <v>1</v>
      </c>
      <c r="K20" s="639">
        <v>1</v>
      </c>
      <c r="L20" s="639">
        <v>1</v>
      </c>
      <c r="M20" s="639">
        <v>1</v>
      </c>
      <c r="N20" s="639">
        <v>1</v>
      </c>
      <c r="O20" s="639">
        <v>1</v>
      </c>
      <c r="P20" s="639">
        <v>1</v>
      </c>
      <c r="Q20" s="639">
        <v>1</v>
      </c>
      <c r="R20" s="639">
        <v>1</v>
      </c>
      <c r="S20" s="639">
        <v>1</v>
      </c>
      <c r="T20" s="639">
        <v>1</v>
      </c>
      <c r="U20" s="639">
        <v>1</v>
      </c>
      <c r="V20" s="639">
        <v>1</v>
      </c>
      <c r="W20" s="648"/>
      <c r="X20" s="640"/>
      <c r="Y20" s="640"/>
      <c r="Z20" s="640"/>
      <c r="AA20" s="640"/>
      <c r="AB20" s="640"/>
      <c r="AC20" s="640"/>
      <c r="AD20" s="640"/>
      <c r="AE20" s="640"/>
      <c r="AF20" s="640"/>
      <c r="AG20" s="640"/>
      <c r="AH20" s="640"/>
      <c r="AI20" s="640"/>
      <c r="AJ20" s="640"/>
      <c r="AK20" s="640"/>
      <c r="AL20" s="640"/>
      <c r="AM20" s="640"/>
      <c r="AN20" s="640"/>
      <c r="AO20" s="640"/>
    </row>
    <row r="21" spans="1:41" s="672" customFormat="1" ht="20.25" customHeight="1">
      <c r="A21" s="735"/>
      <c r="B21" s="736" t="s">
        <v>1016</v>
      </c>
      <c r="C21" s="737" t="s">
        <v>760</v>
      </c>
      <c r="D21" s="667"/>
      <c r="E21" s="739" t="s">
        <v>770</v>
      </c>
      <c r="F21" s="740"/>
      <c r="G21" s="740"/>
      <c r="H21" s="740"/>
      <c r="I21" s="740"/>
      <c r="J21" s="740"/>
      <c r="K21" s="740"/>
      <c r="L21" s="740"/>
      <c r="M21" s="740"/>
      <c r="N21" s="740"/>
      <c r="O21" s="740"/>
      <c r="P21" s="740"/>
      <c r="Q21" s="740"/>
      <c r="R21" s="740"/>
      <c r="S21" s="740"/>
      <c r="T21" s="740"/>
      <c r="U21" s="740"/>
      <c r="V21" s="741"/>
      <c r="W21" s="648"/>
      <c r="X21" s="640"/>
      <c r="Y21" s="640"/>
      <c r="Z21" s="640"/>
      <c r="AA21" s="640"/>
      <c r="AB21" s="640"/>
      <c r="AC21" s="640"/>
      <c r="AD21" s="640"/>
      <c r="AE21" s="640"/>
      <c r="AF21" s="640"/>
      <c r="AG21" s="640"/>
      <c r="AH21" s="640"/>
      <c r="AI21" s="640"/>
      <c r="AJ21" s="640"/>
      <c r="AK21" s="640"/>
      <c r="AL21" s="640"/>
      <c r="AM21" s="640"/>
      <c r="AN21" s="640"/>
      <c r="AO21" s="640"/>
    </row>
    <row r="22" spans="1:41" s="672" customFormat="1" ht="58.5" customHeight="1">
      <c r="A22" s="735"/>
      <c r="B22" s="736"/>
      <c r="C22" s="737"/>
      <c r="D22" s="667"/>
      <c r="E22" s="645" t="s">
        <v>1057</v>
      </c>
      <c r="F22" s="645" t="s">
        <v>1058</v>
      </c>
      <c r="G22" s="645" t="s">
        <v>1051</v>
      </c>
      <c r="H22" s="645" t="s">
        <v>1047</v>
      </c>
      <c r="I22" s="645" t="s">
        <v>1059</v>
      </c>
      <c r="J22" s="645" t="s">
        <v>1071</v>
      </c>
      <c r="K22" s="645" t="s">
        <v>1049</v>
      </c>
      <c r="L22" s="645" t="s">
        <v>1052</v>
      </c>
      <c r="M22" s="645" t="s">
        <v>1066</v>
      </c>
      <c r="N22" s="645" t="s">
        <v>1060</v>
      </c>
      <c r="O22" s="645" t="s">
        <v>1061</v>
      </c>
      <c r="P22" s="645" t="s">
        <v>1062</v>
      </c>
      <c r="Q22" s="645" t="s">
        <v>1063</v>
      </c>
      <c r="R22" s="645" t="s">
        <v>1064</v>
      </c>
      <c r="S22" s="645" t="s">
        <v>1068</v>
      </c>
      <c r="T22" s="645" t="s">
        <v>1056</v>
      </c>
      <c r="U22" s="645" t="s">
        <v>1065</v>
      </c>
      <c r="V22" s="645" t="s">
        <v>1067</v>
      </c>
      <c r="W22" s="695" t="s">
        <v>1030</v>
      </c>
      <c r="X22" s="668"/>
      <c r="Y22" s="640"/>
      <c r="Z22" s="640"/>
      <c r="AA22" s="640"/>
      <c r="AB22" s="640"/>
      <c r="AC22" s="640"/>
      <c r="AD22" s="640"/>
      <c r="AE22" s="640"/>
      <c r="AF22" s="640"/>
      <c r="AG22" s="640"/>
      <c r="AH22" s="640"/>
      <c r="AI22" s="640"/>
      <c r="AJ22" s="640"/>
      <c r="AK22" s="640"/>
      <c r="AL22" s="640"/>
      <c r="AM22" s="640"/>
      <c r="AN22" s="640"/>
      <c r="AO22" s="640"/>
    </row>
    <row r="23" spans="1:41" s="672" customFormat="1" ht="48" customHeight="1">
      <c r="A23" s="653"/>
      <c r="B23" s="680" t="s">
        <v>1038</v>
      </c>
      <c r="C23" s="681" t="s">
        <v>1018</v>
      </c>
      <c r="D23" s="667">
        <f>D24+D25+D31+D36</f>
        <v>294</v>
      </c>
      <c r="E23" s="694">
        <f t="shared" ref="E23:V23" si="1">E24+E25+E31+E36</f>
        <v>15.75</v>
      </c>
      <c r="F23" s="694">
        <f t="shared" si="1"/>
        <v>15.75</v>
      </c>
      <c r="G23" s="694">
        <f t="shared" si="1"/>
        <v>15.75</v>
      </c>
      <c r="H23" s="694">
        <f t="shared" si="1"/>
        <v>14.75</v>
      </c>
      <c r="I23" s="694">
        <f t="shared" si="1"/>
        <v>14.75</v>
      </c>
      <c r="J23" s="694">
        <f t="shared" si="1"/>
        <v>14.25</v>
      </c>
      <c r="K23" s="694">
        <f t="shared" si="1"/>
        <v>9.75</v>
      </c>
      <c r="L23" s="694">
        <f t="shared" si="1"/>
        <v>9.85</v>
      </c>
      <c r="M23" s="694">
        <f t="shared" si="1"/>
        <v>9.85</v>
      </c>
      <c r="N23" s="694">
        <f t="shared" si="1"/>
        <v>14.65</v>
      </c>
      <c r="O23" s="694">
        <f t="shared" si="1"/>
        <v>13.9</v>
      </c>
      <c r="P23" s="694">
        <f t="shared" si="1"/>
        <v>13.55</v>
      </c>
      <c r="Q23" s="694">
        <f t="shared" si="1"/>
        <v>43.15</v>
      </c>
      <c r="R23" s="694">
        <f t="shared" si="1"/>
        <v>43.25</v>
      </c>
      <c r="S23" s="694">
        <f t="shared" si="1"/>
        <v>11</v>
      </c>
      <c r="T23" s="694">
        <f t="shared" si="1"/>
        <v>13.25</v>
      </c>
      <c r="U23" s="694">
        <f t="shared" si="1"/>
        <v>10.95</v>
      </c>
      <c r="V23" s="694">
        <f t="shared" si="1"/>
        <v>9.85</v>
      </c>
      <c r="W23" s="696"/>
      <c r="X23" s="668"/>
      <c r="Y23" s="640"/>
      <c r="Z23" s="640"/>
      <c r="AA23" s="640"/>
      <c r="AB23" s="640"/>
      <c r="AC23" s="640"/>
      <c r="AD23" s="640"/>
      <c r="AE23" s="640"/>
      <c r="AF23" s="640"/>
      <c r="AG23" s="640"/>
      <c r="AH23" s="640"/>
      <c r="AI23" s="640"/>
      <c r="AJ23" s="640"/>
      <c r="AK23" s="640"/>
      <c r="AL23" s="640"/>
      <c r="AM23" s="640"/>
      <c r="AN23" s="640"/>
      <c r="AO23" s="640"/>
    </row>
    <row r="24" spans="1:41" s="672" customFormat="1" ht="36" customHeight="1">
      <c r="A24" s="673">
        <v>1</v>
      </c>
      <c r="B24" s="674" t="s">
        <v>1021</v>
      </c>
      <c r="C24" s="652" t="s">
        <v>1018</v>
      </c>
      <c r="D24" s="667">
        <f t="shared" si="0"/>
        <v>30</v>
      </c>
      <c r="E24" s="643">
        <v>2</v>
      </c>
      <c r="F24" s="643">
        <v>2</v>
      </c>
      <c r="G24" s="643">
        <v>2</v>
      </c>
      <c r="H24" s="643">
        <v>2</v>
      </c>
      <c r="I24" s="643">
        <v>2</v>
      </c>
      <c r="J24" s="643">
        <v>1.5</v>
      </c>
      <c r="K24" s="643">
        <v>1.5</v>
      </c>
      <c r="L24" s="643">
        <v>1.5</v>
      </c>
      <c r="M24" s="643">
        <v>1.5</v>
      </c>
      <c r="N24" s="643">
        <v>1.5</v>
      </c>
      <c r="O24" s="643">
        <v>2</v>
      </c>
      <c r="P24" s="643">
        <v>1.5</v>
      </c>
      <c r="Q24" s="643">
        <v>1.5</v>
      </c>
      <c r="R24" s="643">
        <v>1.5</v>
      </c>
      <c r="S24" s="643">
        <v>1.5</v>
      </c>
      <c r="T24" s="643">
        <v>1.5</v>
      </c>
      <c r="U24" s="667">
        <v>1.5</v>
      </c>
      <c r="V24" s="667">
        <v>1.5</v>
      </c>
      <c r="W24" s="682" t="s">
        <v>770</v>
      </c>
      <c r="X24" s="640"/>
      <c r="Y24" s="640"/>
      <c r="Z24" s="640"/>
      <c r="AA24" s="640"/>
      <c r="AB24" s="640"/>
      <c r="AC24" s="640"/>
      <c r="AD24" s="640"/>
      <c r="AE24" s="640"/>
      <c r="AF24" s="640"/>
      <c r="AG24" s="640"/>
      <c r="AH24" s="640"/>
      <c r="AI24" s="640"/>
      <c r="AJ24" s="640"/>
      <c r="AK24" s="640"/>
      <c r="AL24" s="640"/>
      <c r="AM24" s="640"/>
      <c r="AN24" s="640"/>
      <c r="AO24" s="640"/>
    </row>
    <row r="25" spans="1:41" s="677" customFormat="1" ht="52.5" customHeight="1">
      <c r="A25" s="681">
        <v>2</v>
      </c>
      <c r="B25" s="674" t="s">
        <v>1031</v>
      </c>
      <c r="C25" s="652" t="s">
        <v>1018</v>
      </c>
      <c r="D25" s="667">
        <f>D26+D27+D28+D29+D30</f>
        <v>163</v>
      </c>
      <c r="E25" s="667">
        <f t="shared" ref="E25:V25" si="2">E26+E27+E28+E29+E30</f>
        <v>5.75</v>
      </c>
      <c r="F25" s="667">
        <f t="shared" si="2"/>
        <v>5.75</v>
      </c>
      <c r="G25" s="667">
        <f t="shared" si="2"/>
        <v>5.75</v>
      </c>
      <c r="H25" s="667">
        <f t="shared" si="2"/>
        <v>5.75</v>
      </c>
      <c r="I25" s="667">
        <f t="shared" si="2"/>
        <v>5.75</v>
      </c>
      <c r="J25" s="667">
        <f t="shared" si="2"/>
        <v>5.75</v>
      </c>
      <c r="K25" s="667">
        <f t="shared" si="2"/>
        <v>4.75</v>
      </c>
      <c r="L25" s="667">
        <f t="shared" si="2"/>
        <v>4.75</v>
      </c>
      <c r="M25" s="667">
        <f t="shared" si="2"/>
        <v>4.75</v>
      </c>
      <c r="N25" s="667">
        <f t="shared" si="2"/>
        <v>6.75</v>
      </c>
      <c r="O25" s="667">
        <f t="shared" si="2"/>
        <v>7</v>
      </c>
      <c r="P25" s="667">
        <f t="shared" si="2"/>
        <v>5.75</v>
      </c>
      <c r="Q25" s="667">
        <f t="shared" si="2"/>
        <v>36.75</v>
      </c>
      <c r="R25" s="667">
        <f t="shared" si="2"/>
        <v>36.85</v>
      </c>
      <c r="S25" s="667">
        <f t="shared" si="2"/>
        <v>4.8</v>
      </c>
      <c r="T25" s="667">
        <f t="shared" si="2"/>
        <v>6.85</v>
      </c>
      <c r="U25" s="667">
        <f t="shared" si="2"/>
        <v>4.75</v>
      </c>
      <c r="V25" s="667">
        <f t="shared" si="2"/>
        <v>4.75</v>
      </c>
      <c r="W25" s="649"/>
      <c r="X25" s="640"/>
      <c r="Y25" s="683"/>
      <c r="Z25" s="644"/>
      <c r="AA25" s="644"/>
      <c r="AB25" s="644"/>
      <c r="AC25" s="644"/>
      <c r="AD25" s="644"/>
      <c r="AE25" s="644"/>
      <c r="AF25" s="644"/>
      <c r="AG25" s="644"/>
      <c r="AH25" s="644"/>
      <c r="AI25" s="644"/>
      <c r="AJ25" s="644"/>
      <c r="AK25" s="644"/>
      <c r="AL25" s="644"/>
      <c r="AM25" s="644"/>
      <c r="AN25" s="644"/>
      <c r="AO25" s="644"/>
    </row>
    <row r="26" spans="1:41" s="684" customFormat="1" ht="56.25" customHeight="1">
      <c r="A26" s="653">
        <v>2.1</v>
      </c>
      <c r="B26" s="650" t="s">
        <v>1032</v>
      </c>
      <c r="C26" s="652" t="s">
        <v>1018</v>
      </c>
      <c r="D26" s="667">
        <f t="shared" si="0"/>
        <v>50</v>
      </c>
      <c r="E26" s="639">
        <f>E9*X26</f>
        <v>2.5</v>
      </c>
      <c r="F26" s="639">
        <v>2.5</v>
      </c>
      <c r="G26" s="639">
        <v>2.5</v>
      </c>
      <c r="H26" s="639">
        <v>2.5</v>
      </c>
      <c r="I26" s="639">
        <v>2.5</v>
      </c>
      <c r="J26" s="639">
        <v>2.5</v>
      </c>
      <c r="K26" s="639">
        <v>2.5</v>
      </c>
      <c r="L26" s="639">
        <v>2.5</v>
      </c>
      <c r="M26" s="639">
        <v>2.5</v>
      </c>
      <c r="N26" s="639">
        <f>N9*X26</f>
        <v>3.5</v>
      </c>
      <c r="O26" s="639">
        <v>3.5</v>
      </c>
      <c r="P26" s="639">
        <v>2.5</v>
      </c>
      <c r="Q26" s="639">
        <v>3.5</v>
      </c>
      <c r="R26" s="639">
        <v>3.5</v>
      </c>
      <c r="S26" s="639">
        <v>2.5</v>
      </c>
      <c r="T26" s="639">
        <v>3.5</v>
      </c>
      <c r="U26" s="639">
        <v>2.5</v>
      </c>
      <c r="V26" s="639">
        <v>2.5</v>
      </c>
      <c r="W26" s="649" t="s">
        <v>1039</v>
      </c>
      <c r="X26" s="644">
        <v>0.05</v>
      </c>
      <c r="Y26" s="644"/>
      <c r="Z26" s="644"/>
      <c r="AA26" s="644"/>
      <c r="AB26" s="644"/>
      <c r="AC26" s="644"/>
      <c r="AD26" s="644"/>
      <c r="AE26" s="644"/>
      <c r="AF26" s="644"/>
      <c r="AG26" s="644"/>
      <c r="AH26" s="644"/>
      <c r="AI26" s="644"/>
      <c r="AJ26" s="644"/>
      <c r="AK26" s="644"/>
      <c r="AL26" s="644"/>
      <c r="AM26" s="644"/>
      <c r="AN26" s="644"/>
      <c r="AO26" s="644"/>
    </row>
    <row r="27" spans="1:41" s="642" customFormat="1" ht="42.75" customHeight="1">
      <c r="A27" s="653">
        <v>2.2000000000000002</v>
      </c>
      <c r="B27" s="650" t="s">
        <v>1007</v>
      </c>
      <c r="C27" s="652" t="s">
        <v>1018</v>
      </c>
      <c r="D27" s="667">
        <f t="shared" si="0"/>
        <v>60</v>
      </c>
      <c r="E27" s="639"/>
      <c r="F27" s="639"/>
      <c r="G27" s="639"/>
      <c r="H27" s="639"/>
      <c r="I27" s="639"/>
      <c r="J27" s="639"/>
      <c r="K27" s="639"/>
      <c r="L27" s="639"/>
      <c r="M27" s="639"/>
      <c r="N27" s="639"/>
      <c r="O27" s="639"/>
      <c r="P27" s="639"/>
      <c r="Q27" s="639">
        <v>30</v>
      </c>
      <c r="R27" s="639">
        <v>30</v>
      </c>
      <c r="S27" s="639"/>
      <c r="T27" s="639"/>
      <c r="U27" s="639"/>
      <c r="V27" s="639"/>
      <c r="W27" s="649" t="s">
        <v>1039</v>
      </c>
      <c r="X27" s="640"/>
      <c r="Y27" s="644"/>
      <c r="Z27" s="640"/>
      <c r="AA27" s="640"/>
      <c r="AB27" s="640"/>
      <c r="AC27" s="640"/>
      <c r="AD27" s="640"/>
      <c r="AE27" s="640"/>
      <c r="AF27" s="640"/>
      <c r="AG27" s="640"/>
      <c r="AH27" s="640"/>
      <c r="AI27" s="640"/>
      <c r="AJ27" s="640"/>
      <c r="AK27" s="640"/>
      <c r="AL27" s="640"/>
      <c r="AM27" s="640"/>
      <c r="AN27" s="640"/>
      <c r="AO27" s="640"/>
    </row>
    <row r="28" spans="1:41" s="679" customFormat="1" ht="61.5" customHeight="1">
      <c r="A28" s="653">
        <v>2.2999999999999998</v>
      </c>
      <c r="B28" s="650" t="s">
        <v>1024</v>
      </c>
      <c r="C28" s="652" t="s">
        <v>1018</v>
      </c>
      <c r="D28" s="667">
        <f t="shared" si="0"/>
        <v>5</v>
      </c>
      <c r="E28" s="658">
        <f>E11*X28</f>
        <v>0.25</v>
      </c>
      <c r="F28" s="658">
        <v>0.25</v>
      </c>
      <c r="G28" s="658">
        <v>0.25</v>
      </c>
      <c r="H28" s="658">
        <v>0.25</v>
      </c>
      <c r="I28" s="658">
        <v>0.25</v>
      </c>
      <c r="J28" s="658">
        <v>0.25</v>
      </c>
      <c r="K28" s="658">
        <v>0.25</v>
      </c>
      <c r="L28" s="658">
        <v>0.25</v>
      </c>
      <c r="M28" s="658">
        <v>0.25</v>
      </c>
      <c r="N28" s="658">
        <v>0.25</v>
      </c>
      <c r="O28" s="659">
        <f>O11*X28</f>
        <v>0.5</v>
      </c>
      <c r="P28" s="658">
        <v>0.25</v>
      </c>
      <c r="Q28" s="658">
        <v>0.25</v>
      </c>
      <c r="R28" s="658">
        <f>R11*X28</f>
        <v>0.35000000000000003</v>
      </c>
      <c r="S28" s="658">
        <f>S11*X28</f>
        <v>0.30000000000000004</v>
      </c>
      <c r="T28" s="658">
        <f>T11*X28</f>
        <v>0.35000000000000003</v>
      </c>
      <c r="U28" s="658">
        <v>0.25</v>
      </c>
      <c r="V28" s="658">
        <v>0.25</v>
      </c>
      <c r="W28" s="649" t="s">
        <v>1039</v>
      </c>
      <c r="X28" s="685">
        <v>0.05</v>
      </c>
      <c r="Y28" s="644"/>
      <c r="Z28" s="644"/>
      <c r="AA28" s="644"/>
      <c r="AB28" s="644"/>
      <c r="AC28" s="644"/>
      <c r="AD28" s="644"/>
      <c r="AE28" s="644"/>
      <c r="AF28" s="644"/>
      <c r="AG28" s="644"/>
      <c r="AH28" s="644"/>
      <c r="AI28" s="644"/>
      <c r="AJ28" s="644"/>
      <c r="AK28" s="644"/>
      <c r="AL28" s="644"/>
      <c r="AM28" s="644"/>
      <c r="AN28" s="644"/>
      <c r="AO28" s="644"/>
    </row>
    <row r="29" spans="1:41" s="655" customFormat="1" ht="51" customHeight="1">
      <c r="A29" s="653">
        <v>2.4</v>
      </c>
      <c r="B29" s="650" t="s">
        <v>1025</v>
      </c>
      <c r="C29" s="652" t="s">
        <v>1018</v>
      </c>
      <c r="D29" s="667">
        <f t="shared" si="0"/>
        <v>30</v>
      </c>
      <c r="E29" s="639">
        <f>E12*X29</f>
        <v>2</v>
      </c>
      <c r="F29" s="639">
        <v>2</v>
      </c>
      <c r="G29" s="639">
        <v>2</v>
      </c>
      <c r="H29" s="639">
        <v>2</v>
      </c>
      <c r="I29" s="639">
        <v>2</v>
      </c>
      <c r="J29" s="639">
        <v>2</v>
      </c>
      <c r="K29" s="639">
        <v>1</v>
      </c>
      <c r="L29" s="639">
        <v>1</v>
      </c>
      <c r="M29" s="639">
        <v>1</v>
      </c>
      <c r="N29" s="639">
        <v>2</v>
      </c>
      <c r="O29" s="639">
        <v>2</v>
      </c>
      <c r="P29" s="639">
        <v>2</v>
      </c>
      <c r="Q29" s="639">
        <v>2</v>
      </c>
      <c r="R29" s="639">
        <v>2</v>
      </c>
      <c r="S29" s="639">
        <v>1</v>
      </c>
      <c r="T29" s="639">
        <v>2</v>
      </c>
      <c r="U29" s="639">
        <v>1</v>
      </c>
      <c r="V29" s="639">
        <v>1</v>
      </c>
      <c r="W29" s="649" t="s">
        <v>770</v>
      </c>
      <c r="X29" s="640">
        <v>0.2</v>
      </c>
      <c r="Y29" s="656"/>
      <c r="Z29" s="654"/>
      <c r="AA29" s="654"/>
      <c r="AB29" s="654"/>
      <c r="AC29" s="654"/>
      <c r="AD29" s="654"/>
      <c r="AE29" s="654"/>
      <c r="AF29" s="654"/>
      <c r="AG29" s="654"/>
      <c r="AH29" s="654"/>
      <c r="AI29" s="654"/>
      <c r="AJ29" s="654"/>
      <c r="AK29" s="654"/>
      <c r="AL29" s="654"/>
      <c r="AM29" s="654"/>
      <c r="AN29" s="654"/>
      <c r="AO29" s="654"/>
    </row>
    <row r="30" spans="1:41" s="678" customFormat="1" ht="60.75" customHeight="1">
      <c r="A30" s="653">
        <v>2.5</v>
      </c>
      <c r="B30" s="650" t="s">
        <v>1009</v>
      </c>
      <c r="C30" s="652" t="s">
        <v>1018</v>
      </c>
      <c r="D30" s="667">
        <f t="shared" si="0"/>
        <v>18</v>
      </c>
      <c r="E30" s="639">
        <v>1</v>
      </c>
      <c r="F30" s="639">
        <v>1</v>
      </c>
      <c r="G30" s="639">
        <v>1</v>
      </c>
      <c r="H30" s="639">
        <v>1</v>
      </c>
      <c r="I30" s="639">
        <v>1</v>
      </c>
      <c r="J30" s="639">
        <v>1</v>
      </c>
      <c r="K30" s="639">
        <v>1</v>
      </c>
      <c r="L30" s="639">
        <v>1</v>
      </c>
      <c r="M30" s="639">
        <v>1</v>
      </c>
      <c r="N30" s="639">
        <v>1</v>
      </c>
      <c r="O30" s="639">
        <v>1</v>
      </c>
      <c r="P30" s="639">
        <v>1</v>
      </c>
      <c r="Q30" s="639">
        <v>1</v>
      </c>
      <c r="R30" s="639">
        <v>1</v>
      </c>
      <c r="S30" s="639">
        <v>1</v>
      </c>
      <c r="T30" s="639">
        <v>1</v>
      </c>
      <c r="U30" s="639">
        <v>1</v>
      </c>
      <c r="V30" s="639">
        <v>1</v>
      </c>
      <c r="W30" s="649" t="s">
        <v>770</v>
      </c>
      <c r="X30" s="640"/>
      <c r="Y30" s="644"/>
      <c r="Z30" s="640"/>
      <c r="AA30" s="640"/>
      <c r="AB30" s="640"/>
      <c r="AC30" s="640"/>
      <c r="AD30" s="640"/>
      <c r="AE30" s="640"/>
      <c r="AF30" s="640"/>
      <c r="AG30" s="640"/>
      <c r="AH30" s="640"/>
      <c r="AI30" s="640"/>
      <c r="AJ30" s="640"/>
      <c r="AK30" s="640"/>
      <c r="AL30" s="640"/>
      <c r="AM30" s="640"/>
      <c r="AN30" s="640"/>
      <c r="AO30" s="640"/>
    </row>
    <row r="31" spans="1:41" s="677" customFormat="1" ht="64.5" customHeight="1">
      <c r="A31" s="673">
        <v>3</v>
      </c>
      <c r="B31" s="674" t="s">
        <v>1033</v>
      </c>
      <c r="C31" s="681" t="s">
        <v>1018</v>
      </c>
      <c r="D31" s="667">
        <f>D32+D33+D34+D35</f>
        <v>101</v>
      </c>
      <c r="E31" s="667">
        <f t="shared" ref="E31:V31" si="3">E32+E33+E34+E35</f>
        <v>8</v>
      </c>
      <c r="F31" s="667">
        <f t="shared" si="3"/>
        <v>8</v>
      </c>
      <c r="G31" s="667">
        <f t="shared" si="3"/>
        <v>8</v>
      </c>
      <c r="H31" s="667">
        <f t="shared" si="3"/>
        <v>7</v>
      </c>
      <c r="I31" s="667">
        <f t="shared" si="3"/>
        <v>7</v>
      </c>
      <c r="J31" s="667">
        <f t="shared" si="3"/>
        <v>7</v>
      </c>
      <c r="K31" s="667">
        <f t="shared" si="3"/>
        <v>3.5</v>
      </c>
      <c r="L31" s="667">
        <f t="shared" si="3"/>
        <v>3.6</v>
      </c>
      <c r="M31" s="667">
        <f t="shared" si="3"/>
        <v>3.6</v>
      </c>
      <c r="N31" s="667">
        <f t="shared" si="3"/>
        <v>6.4</v>
      </c>
      <c r="O31" s="667">
        <f t="shared" si="3"/>
        <v>4.9000000000000004</v>
      </c>
      <c r="P31" s="667">
        <f t="shared" si="3"/>
        <v>6.3</v>
      </c>
      <c r="Q31" s="667">
        <f t="shared" si="3"/>
        <v>4.9000000000000004</v>
      </c>
      <c r="R31" s="667">
        <f t="shared" si="3"/>
        <v>4.9000000000000004</v>
      </c>
      <c r="S31" s="667">
        <f t="shared" si="3"/>
        <v>4.7</v>
      </c>
      <c r="T31" s="667">
        <f t="shared" si="3"/>
        <v>4.9000000000000004</v>
      </c>
      <c r="U31" s="667">
        <f t="shared" si="3"/>
        <v>4.7</v>
      </c>
      <c r="V31" s="667">
        <f t="shared" si="3"/>
        <v>3.6</v>
      </c>
      <c r="W31" s="649" t="s">
        <v>1039</v>
      </c>
      <c r="X31" s="640"/>
      <c r="Y31" s="644"/>
      <c r="Z31" s="644"/>
      <c r="AA31" s="644"/>
      <c r="AB31" s="644"/>
      <c r="AC31" s="644"/>
      <c r="AD31" s="644"/>
      <c r="AE31" s="644"/>
      <c r="AF31" s="644"/>
      <c r="AG31" s="644"/>
      <c r="AH31" s="644"/>
      <c r="AI31" s="644"/>
      <c r="AJ31" s="644"/>
      <c r="AK31" s="644"/>
      <c r="AL31" s="644"/>
      <c r="AM31" s="644"/>
      <c r="AN31" s="644"/>
      <c r="AO31" s="644"/>
    </row>
    <row r="32" spans="1:41" s="641" customFormat="1" ht="103.5" customHeight="1">
      <c r="A32" s="652">
        <v>3.1</v>
      </c>
      <c r="B32" s="650" t="s">
        <v>1034</v>
      </c>
      <c r="C32" s="652" t="s">
        <v>1018</v>
      </c>
      <c r="D32" s="693">
        <f t="shared" si="0"/>
        <v>18</v>
      </c>
      <c r="E32" s="639">
        <v>1</v>
      </c>
      <c r="F32" s="639">
        <v>1</v>
      </c>
      <c r="G32" s="639">
        <v>1</v>
      </c>
      <c r="H32" s="639">
        <v>1</v>
      </c>
      <c r="I32" s="639">
        <v>1</v>
      </c>
      <c r="J32" s="639">
        <v>1</v>
      </c>
      <c r="K32" s="639">
        <v>1</v>
      </c>
      <c r="L32" s="639">
        <v>1</v>
      </c>
      <c r="M32" s="639">
        <v>1</v>
      </c>
      <c r="N32" s="639">
        <v>1</v>
      </c>
      <c r="O32" s="639">
        <v>1</v>
      </c>
      <c r="P32" s="639">
        <v>1</v>
      </c>
      <c r="Q32" s="639">
        <v>1</v>
      </c>
      <c r="R32" s="639">
        <v>1</v>
      </c>
      <c r="S32" s="639">
        <v>1</v>
      </c>
      <c r="T32" s="639">
        <v>1</v>
      </c>
      <c r="U32" s="639">
        <v>1</v>
      </c>
      <c r="V32" s="639">
        <v>1</v>
      </c>
      <c r="W32" s="649" t="s">
        <v>1039</v>
      </c>
      <c r="X32" s="644"/>
      <c r="Y32" s="644"/>
      <c r="Z32" s="640"/>
      <c r="AA32" s="640"/>
      <c r="AB32" s="640"/>
      <c r="AC32" s="640"/>
      <c r="AD32" s="640"/>
      <c r="AE32" s="640"/>
      <c r="AF32" s="640"/>
      <c r="AG32" s="640"/>
      <c r="AH32" s="640"/>
      <c r="AI32" s="640"/>
      <c r="AJ32" s="640"/>
      <c r="AK32" s="640"/>
      <c r="AL32" s="640"/>
      <c r="AM32" s="640"/>
      <c r="AN32" s="640"/>
      <c r="AO32" s="640"/>
    </row>
    <row r="33" spans="1:41" s="642" customFormat="1" ht="123" customHeight="1">
      <c r="A33" s="652">
        <v>3.2</v>
      </c>
      <c r="B33" s="650" t="s">
        <v>1028</v>
      </c>
      <c r="C33" s="652" t="s">
        <v>1018</v>
      </c>
      <c r="D33" s="693">
        <f t="shared" si="0"/>
        <v>0</v>
      </c>
      <c r="E33" s="639">
        <v>0</v>
      </c>
      <c r="F33" s="639">
        <v>0</v>
      </c>
      <c r="G33" s="639">
        <v>0</v>
      </c>
      <c r="H33" s="639">
        <v>0</v>
      </c>
      <c r="I33" s="639">
        <v>0</v>
      </c>
      <c r="J33" s="639">
        <v>0</v>
      </c>
      <c r="K33" s="639">
        <v>0</v>
      </c>
      <c r="L33" s="639">
        <v>0</v>
      </c>
      <c r="M33" s="639">
        <v>0</v>
      </c>
      <c r="N33" s="639">
        <v>0</v>
      </c>
      <c r="O33" s="639">
        <v>0</v>
      </c>
      <c r="P33" s="639">
        <v>0</v>
      </c>
      <c r="Q33" s="639">
        <v>0</v>
      </c>
      <c r="R33" s="639">
        <v>0</v>
      </c>
      <c r="S33" s="639">
        <v>0</v>
      </c>
      <c r="T33" s="639">
        <v>0</v>
      </c>
      <c r="U33" s="639">
        <v>0</v>
      </c>
      <c r="V33" s="639">
        <v>0</v>
      </c>
      <c r="W33" s="649"/>
      <c r="X33" s="640"/>
      <c r="Y33" s="644"/>
      <c r="Z33" s="640"/>
      <c r="AA33" s="640"/>
      <c r="AB33" s="640"/>
      <c r="AC33" s="640"/>
      <c r="AD33" s="640"/>
      <c r="AE33" s="640"/>
      <c r="AF33" s="640"/>
      <c r="AG33" s="640"/>
      <c r="AH33" s="640"/>
      <c r="AI33" s="640"/>
      <c r="AJ33" s="640"/>
      <c r="AK33" s="640"/>
      <c r="AL33" s="640"/>
      <c r="AM33" s="640"/>
      <c r="AN33" s="640"/>
      <c r="AO33" s="640"/>
    </row>
    <row r="34" spans="1:41" s="642" customFormat="1" ht="57.75" customHeight="1">
      <c r="A34" s="652">
        <v>3.4</v>
      </c>
      <c r="B34" s="650" t="s">
        <v>1035</v>
      </c>
      <c r="C34" s="652" t="s">
        <v>1018</v>
      </c>
      <c r="D34" s="667">
        <f t="shared" si="0"/>
        <v>3.0000000000000004</v>
      </c>
      <c r="E34" s="639"/>
      <c r="F34" s="639"/>
      <c r="G34" s="639"/>
      <c r="H34" s="639"/>
      <c r="I34" s="639"/>
      <c r="J34" s="639"/>
      <c r="K34" s="639"/>
      <c r="L34" s="639">
        <f>L20*X34</f>
        <v>0.1</v>
      </c>
      <c r="M34" s="639">
        <v>0.1</v>
      </c>
      <c r="N34" s="639">
        <f>N17*X34</f>
        <v>0.4</v>
      </c>
      <c r="O34" s="639">
        <v>0.4</v>
      </c>
      <c r="P34" s="639">
        <f>X34*P17</f>
        <v>0.30000000000000004</v>
      </c>
      <c r="Q34" s="639">
        <v>0.4</v>
      </c>
      <c r="R34" s="639">
        <v>0.4</v>
      </c>
      <c r="S34" s="639">
        <v>0.2</v>
      </c>
      <c r="T34" s="639">
        <v>0.4</v>
      </c>
      <c r="U34" s="639">
        <v>0.2</v>
      </c>
      <c r="V34" s="639">
        <v>0.1</v>
      </c>
      <c r="W34" s="649" t="s">
        <v>1039</v>
      </c>
      <c r="X34" s="640">
        <v>0.1</v>
      </c>
      <c r="Y34" s="644"/>
      <c r="Z34" s="640"/>
      <c r="AA34" s="640"/>
      <c r="AB34" s="640"/>
      <c r="AC34" s="640"/>
      <c r="AD34" s="640"/>
      <c r="AE34" s="640"/>
      <c r="AF34" s="640"/>
      <c r="AG34" s="640"/>
      <c r="AH34" s="640"/>
      <c r="AI34" s="640"/>
      <c r="AJ34" s="640"/>
      <c r="AK34" s="640"/>
      <c r="AL34" s="640"/>
      <c r="AM34" s="640"/>
      <c r="AN34" s="640"/>
      <c r="AO34" s="640"/>
    </row>
    <row r="35" spans="1:41" s="678" customFormat="1" ht="42.75" customHeight="1">
      <c r="A35" s="653">
        <v>3.5</v>
      </c>
      <c r="B35" s="650" t="s">
        <v>1069</v>
      </c>
      <c r="C35" s="652" t="s">
        <v>1018</v>
      </c>
      <c r="D35" s="667">
        <f t="shared" si="0"/>
        <v>80</v>
      </c>
      <c r="E35" s="639">
        <v>7</v>
      </c>
      <c r="F35" s="639">
        <v>7</v>
      </c>
      <c r="G35" s="639">
        <v>7</v>
      </c>
      <c r="H35" s="639">
        <v>6</v>
      </c>
      <c r="I35" s="639">
        <v>6</v>
      </c>
      <c r="J35" s="639">
        <v>6</v>
      </c>
      <c r="K35" s="639">
        <v>2.5</v>
      </c>
      <c r="L35" s="639">
        <v>2.5</v>
      </c>
      <c r="M35" s="639">
        <v>2.5</v>
      </c>
      <c r="N35" s="639">
        <v>5</v>
      </c>
      <c r="O35" s="639">
        <v>3.5</v>
      </c>
      <c r="P35" s="639">
        <v>5</v>
      </c>
      <c r="Q35" s="639">
        <v>3.5</v>
      </c>
      <c r="R35" s="639">
        <v>3.5</v>
      </c>
      <c r="S35" s="639">
        <v>3.5</v>
      </c>
      <c r="T35" s="639">
        <v>3.5</v>
      </c>
      <c r="U35" s="639">
        <v>3.5</v>
      </c>
      <c r="V35" s="639">
        <v>2.5</v>
      </c>
      <c r="W35" s="649" t="s">
        <v>770</v>
      </c>
      <c r="X35" s="686"/>
      <c r="Y35" s="644"/>
      <c r="Z35" s="640"/>
      <c r="AA35" s="640"/>
      <c r="AB35" s="640"/>
      <c r="AC35" s="640"/>
      <c r="AD35" s="640"/>
      <c r="AE35" s="640"/>
      <c r="AF35" s="640"/>
      <c r="AG35" s="640"/>
      <c r="AH35" s="640"/>
      <c r="AI35" s="640"/>
      <c r="AJ35" s="640"/>
      <c r="AK35" s="640"/>
      <c r="AL35" s="640"/>
      <c r="AM35" s="640"/>
      <c r="AN35" s="640"/>
      <c r="AO35" s="640"/>
    </row>
    <row r="36" spans="1:41" s="672" customFormat="1" ht="29.25" customHeight="1">
      <c r="A36" s="673">
        <v>4</v>
      </c>
      <c r="B36" s="674" t="s">
        <v>1014</v>
      </c>
      <c r="C36" s="652"/>
      <c r="D36" s="667"/>
      <c r="E36" s="643"/>
      <c r="F36" s="643"/>
      <c r="G36" s="643"/>
      <c r="H36" s="643"/>
      <c r="I36" s="643"/>
      <c r="J36" s="643"/>
      <c r="K36" s="643"/>
      <c r="L36" s="643"/>
      <c r="M36" s="643"/>
      <c r="N36" s="643"/>
      <c r="O36" s="643"/>
      <c r="P36" s="639"/>
      <c r="Q36" s="639"/>
      <c r="R36" s="639"/>
      <c r="S36" s="639"/>
      <c r="T36" s="639"/>
      <c r="U36" s="639"/>
      <c r="V36" s="639"/>
      <c r="W36" s="649"/>
      <c r="X36" s="640"/>
      <c r="Y36" s="640"/>
      <c r="Z36" s="640"/>
      <c r="AA36" s="640"/>
      <c r="AB36" s="640"/>
      <c r="AC36" s="640"/>
      <c r="AD36" s="640"/>
      <c r="AE36" s="640"/>
      <c r="AF36" s="640"/>
      <c r="AG36" s="640"/>
      <c r="AH36" s="640"/>
      <c r="AI36" s="640"/>
      <c r="AJ36" s="640"/>
      <c r="AK36" s="640"/>
      <c r="AL36" s="640"/>
      <c r="AM36" s="640"/>
      <c r="AN36" s="640"/>
      <c r="AO36" s="640"/>
    </row>
    <row r="37" spans="1:41" s="642" customFormat="1" ht="30.75" customHeight="1">
      <c r="A37" s="653">
        <v>4.0999999999999996</v>
      </c>
      <c r="B37" s="687" t="s">
        <v>1073</v>
      </c>
      <c r="C37" s="652" t="s">
        <v>1018</v>
      </c>
      <c r="D37" s="667">
        <f t="shared" si="0"/>
        <v>0</v>
      </c>
      <c r="E37" s="639">
        <v>0</v>
      </c>
      <c r="F37" s="639">
        <v>0</v>
      </c>
      <c r="G37" s="639">
        <v>0</v>
      </c>
      <c r="H37" s="639">
        <v>0</v>
      </c>
      <c r="I37" s="639">
        <v>0</v>
      </c>
      <c r="J37" s="639">
        <v>0</v>
      </c>
      <c r="K37" s="639">
        <v>0</v>
      </c>
      <c r="L37" s="639">
        <v>0</v>
      </c>
      <c r="M37" s="639">
        <v>0</v>
      </c>
      <c r="N37" s="639">
        <v>0</v>
      </c>
      <c r="O37" s="639">
        <v>0</v>
      </c>
      <c r="P37" s="639">
        <v>0</v>
      </c>
      <c r="Q37" s="639">
        <v>0</v>
      </c>
      <c r="R37" s="639">
        <v>0</v>
      </c>
      <c r="S37" s="639">
        <v>0</v>
      </c>
      <c r="T37" s="639">
        <v>0</v>
      </c>
      <c r="U37" s="639">
        <v>0</v>
      </c>
      <c r="V37" s="639">
        <v>0</v>
      </c>
      <c r="W37" s="649"/>
      <c r="X37" s="640"/>
      <c r="Y37" s="640"/>
      <c r="Z37" s="640"/>
      <c r="AA37" s="640"/>
      <c r="AB37" s="640"/>
      <c r="AC37" s="640"/>
      <c r="AD37" s="640"/>
      <c r="AE37" s="640"/>
      <c r="AF37" s="640"/>
      <c r="AG37" s="640"/>
      <c r="AH37" s="640"/>
      <c r="AI37" s="640"/>
      <c r="AJ37" s="640"/>
      <c r="AK37" s="640"/>
      <c r="AL37" s="640"/>
      <c r="AM37" s="640"/>
      <c r="AN37" s="640"/>
      <c r="AO37" s="640"/>
    </row>
    <row r="38" spans="1:41" s="663" customFormat="1" ht="20.25" customHeight="1">
      <c r="A38" s="688"/>
      <c r="D38" s="668"/>
      <c r="E38" s="646"/>
      <c r="F38" s="646"/>
      <c r="G38" s="646"/>
      <c r="H38" s="646"/>
      <c r="I38" s="646"/>
      <c r="J38" s="646"/>
      <c r="K38" s="646"/>
      <c r="L38" s="646"/>
      <c r="M38" s="646"/>
      <c r="N38" s="646"/>
      <c r="O38" s="646"/>
      <c r="P38" s="646"/>
      <c r="Q38" s="646"/>
      <c r="R38" s="646"/>
      <c r="S38" s="646"/>
      <c r="T38" s="646"/>
      <c r="U38" s="646"/>
      <c r="V38" s="646"/>
      <c r="W38" s="662"/>
    </row>
    <row r="39" spans="1:41" s="663" customFormat="1" ht="20.25" customHeight="1">
      <c r="A39" s="688"/>
      <c r="D39" s="668"/>
      <c r="E39" s="646"/>
      <c r="F39" s="646"/>
      <c r="G39" s="646"/>
      <c r="H39" s="646"/>
      <c r="I39" s="646"/>
      <c r="J39" s="646"/>
      <c r="K39" s="646"/>
      <c r="L39" s="646"/>
      <c r="M39" s="646"/>
      <c r="N39" s="646"/>
      <c r="O39" s="646"/>
      <c r="P39" s="646"/>
      <c r="Q39" s="646"/>
      <c r="R39" s="646"/>
      <c r="S39" s="646"/>
      <c r="T39" s="646"/>
      <c r="U39" s="646"/>
      <c r="V39" s="646"/>
      <c r="W39" s="662"/>
    </row>
    <row r="40" spans="1:41" s="663" customFormat="1" ht="20.25" customHeight="1">
      <c r="A40" s="688"/>
      <c r="D40" s="668"/>
      <c r="E40" s="646"/>
      <c r="F40" s="646"/>
      <c r="G40" s="646"/>
      <c r="H40" s="646"/>
      <c r="I40" s="646"/>
      <c r="J40" s="646"/>
      <c r="K40" s="646"/>
      <c r="L40" s="646"/>
      <c r="M40" s="646"/>
      <c r="N40" s="646"/>
      <c r="O40" s="646"/>
      <c r="P40" s="646"/>
      <c r="Q40" s="646"/>
      <c r="R40" s="646"/>
      <c r="S40" s="646"/>
      <c r="T40" s="646"/>
      <c r="U40" s="646"/>
      <c r="V40" s="646"/>
      <c r="W40" s="662"/>
    </row>
    <row r="41" spans="1:41" s="663" customFormat="1" ht="20.25" customHeight="1">
      <c r="A41" s="688"/>
      <c r="D41" s="668"/>
      <c r="E41" s="646"/>
      <c r="F41" s="646"/>
      <c r="G41" s="646"/>
      <c r="H41" s="646"/>
      <c r="I41" s="646"/>
      <c r="J41" s="646"/>
      <c r="K41" s="646"/>
      <c r="L41" s="646"/>
      <c r="M41" s="646"/>
      <c r="N41" s="646"/>
      <c r="O41" s="646"/>
      <c r="P41" s="646"/>
      <c r="Q41" s="646"/>
      <c r="R41" s="646"/>
      <c r="S41" s="646"/>
      <c r="T41" s="646"/>
      <c r="U41" s="646"/>
      <c r="V41" s="646"/>
      <c r="W41" s="662"/>
    </row>
    <row r="42" spans="1:41" s="663" customFormat="1" ht="20.25" customHeight="1">
      <c r="A42" s="688"/>
      <c r="D42" s="668"/>
      <c r="E42" s="646"/>
      <c r="F42" s="646"/>
      <c r="G42" s="646"/>
      <c r="H42" s="646"/>
      <c r="I42" s="646"/>
      <c r="J42" s="646"/>
      <c r="K42" s="646"/>
      <c r="L42" s="646"/>
      <c r="M42" s="646"/>
      <c r="N42" s="646"/>
      <c r="O42" s="646"/>
      <c r="P42" s="646"/>
      <c r="Q42" s="646"/>
      <c r="R42" s="646"/>
      <c r="S42" s="646"/>
      <c r="T42" s="646"/>
      <c r="U42" s="646"/>
      <c r="V42" s="646"/>
      <c r="W42" s="662"/>
    </row>
    <row r="43" spans="1:41" s="663" customFormat="1" ht="20.25" customHeight="1">
      <c r="A43" s="688"/>
      <c r="D43" s="668"/>
      <c r="E43" s="646"/>
      <c r="F43" s="646"/>
      <c r="G43" s="646"/>
      <c r="H43" s="646"/>
      <c r="I43" s="646"/>
      <c r="J43" s="646"/>
      <c r="K43" s="646"/>
      <c r="L43" s="646"/>
      <c r="M43" s="646"/>
      <c r="N43" s="646"/>
      <c r="O43" s="646"/>
      <c r="P43" s="646"/>
      <c r="Q43" s="646"/>
      <c r="R43" s="646"/>
      <c r="S43" s="646"/>
      <c r="T43" s="646"/>
      <c r="U43" s="646"/>
      <c r="V43" s="646"/>
      <c r="W43" s="662"/>
    </row>
    <row r="44" spans="1:41" s="663" customFormat="1" ht="20.25" customHeight="1">
      <c r="A44" s="688"/>
      <c r="D44" s="668"/>
      <c r="E44" s="646"/>
      <c r="F44" s="646"/>
      <c r="G44" s="646"/>
      <c r="H44" s="646"/>
      <c r="I44" s="646"/>
      <c r="J44" s="646"/>
      <c r="K44" s="646"/>
      <c r="L44" s="646"/>
      <c r="M44" s="646"/>
      <c r="N44" s="646"/>
      <c r="O44" s="646"/>
      <c r="P44" s="646"/>
      <c r="Q44" s="646"/>
      <c r="R44" s="646"/>
      <c r="S44" s="646"/>
      <c r="T44" s="646"/>
      <c r="U44" s="646"/>
      <c r="V44" s="646"/>
      <c r="W44" s="662"/>
    </row>
    <row r="45" spans="1:41" s="663" customFormat="1" ht="20.25" customHeight="1">
      <c r="A45" s="688"/>
      <c r="D45" s="668"/>
      <c r="E45" s="646"/>
      <c r="F45" s="646"/>
      <c r="G45" s="646"/>
      <c r="H45" s="646"/>
      <c r="I45" s="646"/>
      <c r="J45" s="646"/>
      <c r="K45" s="646"/>
      <c r="L45" s="646"/>
      <c r="M45" s="646"/>
      <c r="N45" s="646"/>
      <c r="O45" s="646"/>
      <c r="P45" s="646"/>
      <c r="Q45" s="646"/>
      <c r="R45" s="646"/>
      <c r="S45" s="646"/>
      <c r="T45" s="646"/>
      <c r="U45" s="646"/>
      <c r="V45" s="646"/>
      <c r="W45" s="662"/>
    </row>
    <row r="46" spans="1:41" s="663" customFormat="1" ht="20.25" customHeight="1">
      <c r="A46" s="688"/>
      <c r="D46" s="668"/>
      <c r="E46" s="646"/>
      <c r="F46" s="646"/>
      <c r="G46" s="646"/>
      <c r="H46" s="646"/>
      <c r="I46" s="646"/>
      <c r="J46" s="646"/>
      <c r="K46" s="646"/>
      <c r="L46" s="646"/>
      <c r="M46" s="646"/>
      <c r="N46" s="646"/>
      <c r="O46" s="646"/>
      <c r="P46" s="646"/>
      <c r="Q46" s="646"/>
      <c r="R46" s="646"/>
      <c r="S46" s="646"/>
      <c r="T46" s="646"/>
      <c r="U46" s="646"/>
      <c r="V46" s="646"/>
      <c r="W46" s="662"/>
    </row>
    <row r="47" spans="1:41" s="663" customFormat="1" ht="20.25" customHeight="1">
      <c r="A47" s="688"/>
      <c r="D47" s="668"/>
      <c r="E47" s="646"/>
      <c r="F47" s="646"/>
      <c r="G47" s="646"/>
      <c r="H47" s="646"/>
      <c r="I47" s="646"/>
      <c r="J47" s="646"/>
      <c r="K47" s="646"/>
      <c r="L47" s="646"/>
      <c r="M47" s="646"/>
      <c r="N47" s="646"/>
      <c r="O47" s="646"/>
      <c r="P47" s="646"/>
      <c r="Q47" s="646"/>
      <c r="R47" s="646"/>
      <c r="S47" s="646"/>
      <c r="T47" s="646"/>
      <c r="U47" s="646"/>
      <c r="V47" s="646"/>
      <c r="W47" s="662"/>
    </row>
    <row r="48" spans="1:41" s="663" customFormat="1" ht="20.25" customHeight="1">
      <c r="A48" s="688"/>
      <c r="D48" s="668"/>
      <c r="E48" s="646"/>
      <c r="F48" s="646"/>
      <c r="G48" s="646"/>
      <c r="H48" s="646"/>
      <c r="I48" s="646"/>
      <c r="J48" s="646"/>
      <c r="K48" s="646"/>
      <c r="L48" s="646"/>
      <c r="M48" s="646"/>
      <c r="N48" s="646"/>
      <c r="O48" s="646"/>
      <c r="P48" s="646"/>
      <c r="Q48" s="646"/>
      <c r="R48" s="646"/>
      <c r="S48" s="646"/>
      <c r="T48" s="646"/>
      <c r="U48" s="646"/>
      <c r="V48" s="646"/>
      <c r="W48" s="662"/>
    </row>
    <row r="49" spans="1:23" s="663" customFormat="1" ht="20.25" customHeight="1">
      <c r="A49" s="688"/>
      <c r="D49" s="668"/>
      <c r="E49" s="646"/>
      <c r="F49" s="646"/>
      <c r="G49" s="646"/>
      <c r="H49" s="646"/>
      <c r="I49" s="646"/>
      <c r="J49" s="646"/>
      <c r="K49" s="646"/>
      <c r="L49" s="646"/>
      <c r="M49" s="646"/>
      <c r="N49" s="646"/>
      <c r="O49" s="646"/>
      <c r="P49" s="646"/>
      <c r="Q49" s="646"/>
      <c r="R49" s="646"/>
      <c r="S49" s="646"/>
      <c r="T49" s="646"/>
      <c r="U49" s="646"/>
      <c r="V49" s="646"/>
      <c r="W49" s="662"/>
    </row>
    <row r="50" spans="1:23" s="663" customFormat="1" ht="20.25" customHeight="1">
      <c r="A50" s="688"/>
      <c r="D50" s="668"/>
      <c r="E50" s="646"/>
      <c r="F50" s="646"/>
      <c r="G50" s="646"/>
      <c r="H50" s="646"/>
      <c r="I50" s="646"/>
      <c r="J50" s="646"/>
      <c r="K50" s="646"/>
      <c r="L50" s="646"/>
      <c r="M50" s="646"/>
      <c r="N50" s="646"/>
      <c r="O50" s="646"/>
      <c r="P50" s="646"/>
      <c r="Q50" s="646"/>
      <c r="R50" s="646"/>
      <c r="S50" s="646"/>
      <c r="T50" s="646"/>
      <c r="U50" s="646"/>
      <c r="V50" s="646"/>
      <c r="W50" s="662"/>
    </row>
    <row r="51" spans="1:23" s="663" customFormat="1" ht="20.25" customHeight="1">
      <c r="A51" s="688"/>
      <c r="D51" s="668"/>
      <c r="E51" s="646"/>
      <c r="F51" s="646"/>
      <c r="G51" s="646"/>
      <c r="H51" s="646"/>
      <c r="I51" s="646"/>
      <c r="J51" s="646"/>
      <c r="K51" s="646"/>
      <c r="L51" s="646"/>
      <c r="M51" s="646"/>
      <c r="N51" s="646"/>
      <c r="O51" s="646"/>
      <c r="P51" s="646"/>
      <c r="Q51" s="646"/>
      <c r="R51" s="646"/>
      <c r="S51" s="646"/>
      <c r="T51" s="646"/>
      <c r="U51" s="646"/>
      <c r="V51" s="646"/>
      <c r="W51" s="662"/>
    </row>
    <row r="52" spans="1:23" s="663" customFormat="1" ht="20.25" customHeight="1">
      <c r="A52" s="688"/>
      <c r="D52" s="668"/>
      <c r="E52" s="646"/>
      <c r="F52" s="646"/>
      <c r="G52" s="646"/>
      <c r="H52" s="646"/>
      <c r="I52" s="646"/>
      <c r="J52" s="646"/>
      <c r="K52" s="646"/>
      <c r="L52" s="646"/>
      <c r="M52" s="646"/>
      <c r="N52" s="646"/>
      <c r="O52" s="646"/>
      <c r="P52" s="646"/>
      <c r="Q52" s="646"/>
      <c r="R52" s="646"/>
      <c r="S52" s="646"/>
      <c r="T52" s="646"/>
      <c r="U52" s="646"/>
      <c r="V52" s="646"/>
      <c r="W52" s="662"/>
    </row>
    <row r="53" spans="1:23" s="663" customFormat="1" ht="20.25" customHeight="1">
      <c r="A53" s="688"/>
      <c r="D53" s="668"/>
      <c r="E53" s="646"/>
      <c r="F53" s="646"/>
      <c r="G53" s="646"/>
      <c r="H53" s="646"/>
      <c r="I53" s="646"/>
      <c r="J53" s="646"/>
      <c r="K53" s="646"/>
      <c r="L53" s="646"/>
      <c r="M53" s="646"/>
      <c r="N53" s="646"/>
      <c r="O53" s="646"/>
      <c r="P53" s="646"/>
      <c r="Q53" s="646"/>
      <c r="R53" s="646"/>
      <c r="S53" s="646"/>
      <c r="T53" s="646"/>
      <c r="U53" s="646"/>
      <c r="V53" s="646"/>
      <c r="W53" s="662"/>
    </row>
    <row r="54" spans="1:23" s="663" customFormat="1" ht="20.25" customHeight="1">
      <c r="A54" s="688"/>
      <c r="D54" s="668"/>
      <c r="E54" s="646"/>
      <c r="F54" s="646"/>
      <c r="G54" s="646"/>
      <c r="H54" s="646"/>
      <c r="I54" s="646"/>
      <c r="J54" s="646"/>
      <c r="K54" s="646"/>
      <c r="L54" s="646"/>
      <c r="M54" s="646"/>
      <c r="N54" s="646"/>
      <c r="O54" s="646"/>
      <c r="P54" s="646"/>
      <c r="Q54" s="646"/>
      <c r="R54" s="646"/>
      <c r="S54" s="646"/>
      <c r="T54" s="646"/>
      <c r="U54" s="646"/>
      <c r="V54" s="646"/>
      <c r="W54" s="662"/>
    </row>
    <row r="55" spans="1:23" s="663" customFormat="1" ht="20.25" customHeight="1">
      <c r="A55" s="688"/>
      <c r="D55" s="668"/>
      <c r="E55" s="646"/>
      <c r="F55" s="646"/>
      <c r="G55" s="646"/>
      <c r="H55" s="646"/>
      <c r="I55" s="646"/>
      <c r="J55" s="646"/>
      <c r="K55" s="646"/>
      <c r="L55" s="646"/>
      <c r="M55" s="646"/>
      <c r="N55" s="646"/>
      <c r="O55" s="646"/>
      <c r="P55" s="646"/>
      <c r="Q55" s="646"/>
      <c r="R55" s="646"/>
      <c r="S55" s="646"/>
      <c r="T55" s="646"/>
      <c r="U55" s="646"/>
      <c r="V55" s="646"/>
      <c r="W55" s="662"/>
    </row>
    <row r="56" spans="1:23" s="663" customFormat="1" ht="20.25" customHeight="1">
      <c r="A56" s="688"/>
      <c r="D56" s="668"/>
      <c r="E56" s="646"/>
      <c r="F56" s="646"/>
      <c r="G56" s="646"/>
      <c r="H56" s="646"/>
      <c r="I56" s="646"/>
      <c r="J56" s="646"/>
      <c r="K56" s="646"/>
      <c r="L56" s="646"/>
      <c r="M56" s="646"/>
      <c r="N56" s="646"/>
      <c r="O56" s="646"/>
      <c r="P56" s="646"/>
      <c r="Q56" s="646"/>
      <c r="R56" s="646"/>
      <c r="S56" s="646"/>
      <c r="T56" s="646"/>
      <c r="U56" s="646"/>
      <c r="V56" s="646"/>
      <c r="W56" s="662"/>
    </row>
    <row r="57" spans="1:23" s="663" customFormat="1" ht="20.25" customHeight="1">
      <c r="A57" s="688"/>
      <c r="D57" s="668"/>
      <c r="E57" s="646"/>
      <c r="F57" s="646"/>
      <c r="G57" s="646"/>
      <c r="H57" s="646"/>
      <c r="I57" s="646"/>
      <c r="J57" s="646"/>
      <c r="K57" s="646"/>
      <c r="L57" s="646"/>
      <c r="M57" s="646"/>
      <c r="N57" s="646"/>
      <c r="O57" s="646"/>
      <c r="P57" s="646"/>
      <c r="Q57" s="646"/>
      <c r="R57" s="646"/>
      <c r="S57" s="646"/>
      <c r="T57" s="646"/>
      <c r="U57" s="646"/>
      <c r="V57" s="646"/>
      <c r="W57" s="662"/>
    </row>
    <row r="58" spans="1:23" s="663" customFormat="1" ht="20.25" customHeight="1">
      <c r="A58" s="688"/>
      <c r="D58" s="668"/>
      <c r="E58" s="646"/>
      <c r="F58" s="646"/>
      <c r="G58" s="646"/>
      <c r="H58" s="646"/>
      <c r="I58" s="646"/>
      <c r="J58" s="646"/>
      <c r="K58" s="646"/>
      <c r="L58" s="646"/>
      <c r="M58" s="646"/>
      <c r="N58" s="646"/>
      <c r="O58" s="646"/>
      <c r="P58" s="646"/>
      <c r="Q58" s="646"/>
      <c r="R58" s="646"/>
      <c r="S58" s="646"/>
      <c r="T58" s="646"/>
      <c r="U58" s="646"/>
      <c r="V58" s="646"/>
      <c r="W58" s="662"/>
    </row>
    <row r="59" spans="1:23" s="663" customFormat="1" ht="20.25" customHeight="1">
      <c r="A59" s="688"/>
      <c r="D59" s="668"/>
      <c r="E59" s="646"/>
      <c r="F59" s="646"/>
      <c r="G59" s="646"/>
      <c r="H59" s="646"/>
      <c r="I59" s="646"/>
      <c r="J59" s="646"/>
      <c r="K59" s="646"/>
      <c r="L59" s="646"/>
      <c r="M59" s="646"/>
      <c r="N59" s="646"/>
      <c r="O59" s="646"/>
      <c r="P59" s="646"/>
      <c r="Q59" s="646"/>
      <c r="R59" s="646"/>
      <c r="S59" s="646"/>
      <c r="T59" s="646"/>
      <c r="U59" s="646"/>
      <c r="V59" s="646"/>
      <c r="W59" s="662"/>
    </row>
    <row r="60" spans="1:23" s="663" customFormat="1" ht="20.25" customHeight="1">
      <c r="A60" s="688"/>
      <c r="D60" s="668"/>
      <c r="E60" s="646"/>
      <c r="F60" s="646"/>
      <c r="G60" s="646"/>
      <c r="H60" s="646"/>
      <c r="I60" s="646"/>
      <c r="J60" s="646"/>
      <c r="K60" s="646"/>
      <c r="L60" s="646"/>
      <c r="M60" s="646"/>
      <c r="N60" s="646"/>
      <c r="O60" s="646"/>
      <c r="P60" s="646"/>
      <c r="Q60" s="646"/>
      <c r="R60" s="646"/>
      <c r="S60" s="646"/>
      <c r="T60" s="646"/>
      <c r="U60" s="646"/>
      <c r="V60" s="646"/>
      <c r="W60" s="662"/>
    </row>
    <row r="61" spans="1:23" s="663" customFormat="1" ht="20.25" customHeight="1">
      <c r="A61" s="688"/>
      <c r="D61" s="668"/>
      <c r="E61" s="646"/>
      <c r="F61" s="646"/>
      <c r="G61" s="646"/>
      <c r="H61" s="646"/>
      <c r="I61" s="646"/>
      <c r="J61" s="646"/>
      <c r="K61" s="646"/>
      <c r="L61" s="646"/>
      <c r="M61" s="646"/>
      <c r="N61" s="646"/>
      <c r="O61" s="646"/>
      <c r="P61" s="646"/>
      <c r="Q61" s="646"/>
      <c r="R61" s="646"/>
      <c r="S61" s="646"/>
      <c r="T61" s="646"/>
      <c r="U61" s="646"/>
      <c r="V61" s="646"/>
      <c r="W61" s="662"/>
    </row>
    <row r="62" spans="1:23" s="663" customFormat="1" ht="20.25" customHeight="1">
      <c r="A62" s="688"/>
      <c r="D62" s="668"/>
      <c r="E62" s="646"/>
      <c r="F62" s="646"/>
      <c r="G62" s="646"/>
      <c r="H62" s="646"/>
      <c r="I62" s="646"/>
      <c r="J62" s="646"/>
      <c r="K62" s="646"/>
      <c r="L62" s="646"/>
      <c r="M62" s="646"/>
      <c r="N62" s="646"/>
      <c r="O62" s="646"/>
      <c r="P62" s="646"/>
      <c r="Q62" s="646"/>
      <c r="R62" s="646"/>
      <c r="S62" s="646"/>
      <c r="T62" s="646"/>
      <c r="U62" s="646"/>
      <c r="V62" s="646"/>
      <c r="W62" s="662"/>
    </row>
    <row r="63" spans="1:23" s="663" customFormat="1" ht="20.25" customHeight="1">
      <c r="A63" s="688"/>
      <c r="D63" s="668"/>
      <c r="E63" s="646"/>
      <c r="F63" s="646"/>
      <c r="G63" s="646"/>
      <c r="H63" s="646"/>
      <c r="I63" s="646"/>
      <c r="J63" s="646"/>
      <c r="K63" s="646"/>
      <c r="L63" s="646"/>
      <c r="M63" s="646"/>
      <c r="N63" s="646"/>
      <c r="O63" s="646"/>
      <c r="P63" s="646"/>
      <c r="Q63" s="646"/>
      <c r="R63" s="646"/>
      <c r="S63" s="646"/>
      <c r="T63" s="646"/>
      <c r="U63" s="646"/>
      <c r="V63" s="646"/>
      <c r="W63" s="662"/>
    </row>
    <row r="64" spans="1:23" s="663" customFormat="1" ht="20.25" customHeight="1">
      <c r="A64" s="688"/>
      <c r="D64" s="668"/>
      <c r="E64" s="646"/>
      <c r="F64" s="646"/>
      <c r="G64" s="646"/>
      <c r="H64" s="646"/>
      <c r="I64" s="646"/>
      <c r="J64" s="646"/>
      <c r="K64" s="646"/>
      <c r="L64" s="646"/>
      <c r="M64" s="646"/>
      <c r="N64" s="646"/>
      <c r="O64" s="646"/>
      <c r="P64" s="646"/>
      <c r="Q64" s="646"/>
      <c r="R64" s="646"/>
      <c r="S64" s="646"/>
      <c r="T64" s="646"/>
      <c r="U64" s="646"/>
      <c r="V64" s="646"/>
      <c r="W64" s="662"/>
    </row>
    <row r="65" spans="1:23" s="663" customFormat="1" ht="20.25" customHeight="1">
      <c r="A65" s="688"/>
      <c r="D65" s="668"/>
      <c r="E65" s="646"/>
      <c r="F65" s="646"/>
      <c r="G65" s="646"/>
      <c r="H65" s="646"/>
      <c r="I65" s="646"/>
      <c r="J65" s="646"/>
      <c r="K65" s="646"/>
      <c r="L65" s="646"/>
      <c r="M65" s="646"/>
      <c r="N65" s="646"/>
      <c r="O65" s="646"/>
      <c r="P65" s="646"/>
      <c r="Q65" s="646"/>
      <c r="R65" s="646"/>
      <c r="S65" s="646"/>
      <c r="T65" s="646"/>
      <c r="U65" s="646"/>
      <c r="V65" s="646"/>
      <c r="W65" s="662"/>
    </row>
    <row r="66" spans="1:23" s="663" customFormat="1" ht="20.25" customHeight="1">
      <c r="A66" s="688"/>
      <c r="D66" s="668"/>
      <c r="E66" s="646"/>
      <c r="F66" s="646"/>
      <c r="G66" s="646"/>
      <c r="H66" s="646"/>
      <c r="I66" s="646"/>
      <c r="J66" s="646"/>
      <c r="K66" s="646"/>
      <c r="L66" s="646"/>
      <c r="M66" s="646"/>
      <c r="N66" s="646"/>
      <c r="O66" s="646"/>
      <c r="P66" s="646"/>
      <c r="Q66" s="646"/>
      <c r="R66" s="646"/>
      <c r="S66" s="646"/>
      <c r="T66" s="646"/>
      <c r="U66" s="646"/>
      <c r="V66" s="646"/>
      <c r="W66" s="662"/>
    </row>
    <row r="67" spans="1:23" s="663" customFormat="1" ht="20.25" customHeight="1">
      <c r="A67" s="688"/>
      <c r="D67" s="668"/>
      <c r="E67" s="646"/>
      <c r="F67" s="646"/>
      <c r="G67" s="646"/>
      <c r="H67" s="646"/>
      <c r="I67" s="646"/>
      <c r="J67" s="646"/>
      <c r="K67" s="646"/>
      <c r="L67" s="646"/>
      <c r="M67" s="646"/>
      <c r="N67" s="646"/>
      <c r="O67" s="646"/>
      <c r="P67" s="646"/>
      <c r="Q67" s="646"/>
      <c r="R67" s="646"/>
      <c r="S67" s="646"/>
      <c r="T67" s="646"/>
      <c r="U67" s="646"/>
      <c r="V67" s="646"/>
      <c r="W67" s="662"/>
    </row>
    <row r="68" spans="1:23" s="663" customFormat="1" ht="20.25" customHeight="1">
      <c r="A68" s="688"/>
      <c r="D68" s="668"/>
      <c r="E68" s="646"/>
      <c r="F68" s="646"/>
      <c r="G68" s="646"/>
      <c r="H68" s="646"/>
      <c r="I68" s="646"/>
      <c r="J68" s="646"/>
      <c r="K68" s="646"/>
      <c r="L68" s="646"/>
      <c r="M68" s="646"/>
      <c r="N68" s="646"/>
      <c r="O68" s="646"/>
      <c r="P68" s="646"/>
      <c r="Q68" s="646"/>
      <c r="R68" s="646"/>
      <c r="S68" s="646"/>
      <c r="T68" s="646"/>
      <c r="U68" s="646"/>
      <c r="V68" s="646"/>
      <c r="W68" s="662"/>
    </row>
    <row r="69" spans="1:23" s="663" customFormat="1" ht="20.25" customHeight="1">
      <c r="A69" s="688"/>
      <c r="D69" s="668"/>
      <c r="E69" s="646"/>
      <c r="F69" s="646"/>
      <c r="G69" s="646"/>
      <c r="H69" s="646"/>
      <c r="I69" s="646"/>
      <c r="J69" s="646"/>
      <c r="K69" s="646"/>
      <c r="L69" s="646"/>
      <c r="M69" s="646"/>
      <c r="N69" s="646"/>
      <c r="O69" s="646"/>
      <c r="P69" s="646"/>
      <c r="Q69" s="646"/>
      <c r="R69" s="646"/>
      <c r="S69" s="646"/>
      <c r="T69" s="646"/>
      <c r="U69" s="646"/>
      <c r="V69" s="646"/>
      <c r="W69" s="662"/>
    </row>
    <row r="70" spans="1:23" s="663" customFormat="1" ht="20.25" customHeight="1">
      <c r="A70" s="688"/>
      <c r="D70" s="668"/>
      <c r="E70" s="646"/>
      <c r="F70" s="646"/>
      <c r="G70" s="646"/>
      <c r="H70" s="646"/>
      <c r="I70" s="646"/>
      <c r="J70" s="646"/>
      <c r="K70" s="646"/>
      <c r="L70" s="646"/>
      <c r="M70" s="646"/>
      <c r="N70" s="646"/>
      <c r="O70" s="646"/>
      <c r="P70" s="646"/>
      <c r="Q70" s="646"/>
      <c r="R70" s="646"/>
      <c r="S70" s="646"/>
      <c r="T70" s="646"/>
      <c r="U70" s="646"/>
      <c r="V70" s="646"/>
      <c r="W70" s="662"/>
    </row>
    <row r="71" spans="1:23" s="663" customFormat="1" ht="20.25" customHeight="1">
      <c r="A71" s="688"/>
      <c r="D71" s="668"/>
      <c r="E71" s="646"/>
      <c r="F71" s="646"/>
      <c r="G71" s="646"/>
      <c r="H71" s="646"/>
      <c r="I71" s="646"/>
      <c r="J71" s="646"/>
      <c r="K71" s="646"/>
      <c r="L71" s="646"/>
      <c r="M71" s="646"/>
      <c r="N71" s="646"/>
      <c r="O71" s="646"/>
      <c r="P71" s="646"/>
      <c r="Q71" s="646"/>
      <c r="R71" s="646"/>
      <c r="S71" s="646"/>
      <c r="T71" s="646"/>
      <c r="U71" s="646"/>
      <c r="V71" s="646"/>
      <c r="W71" s="662"/>
    </row>
    <row r="72" spans="1:23" s="663" customFormat="1" ht="20.25" customHeight="1">
      <c r="A72" s="688"/>
      <c r="D72" s="668"/>
      <c r="E72" s="646"/>
      <c r="F72" s="646"/>
      <c r="G72" s="646"/>
      <c r="H72" s="646"/>
      <c r="I72" s="646"/>
      <c r="J72" s="646"/>
      <c r="K72" s="646"/>
      <c r="L72" s="646"/>
      <c r="M72" s="646"/>
      <c r="N72" s="646"/>
      <c r="O72" s="646"/>
      <c r="P72" s="646"/>
      <c r="Q72" s="646"/>
      <c r="R72" s="646"/>
      <c r="S72" s="646"/>
      <c r="T72" s="646"/>
      <c r="U72" s="646"/>
      <c r="V72" s="646"/>
      <c r="W72" s="662"/>
    </row>
    <row r="73" spans="1:23" s="663" customFormat="1" ht="20.25" customHeight="1">
      <c r="A73" s="688"/>
      <c r="D73" s="668"/>
      <c r="E73" s="646"/>
      <c r="F73" s="646"/>
      <c r="G73" s="646"/>
      <c r="H73" s="646"/>
      <c r="I73" s="646"/>
      <c r="J73" s="646"/>
      <c r="K73" s="646"/>
      <c r="L73" s="646"/>
      <c r="M73" s="646"/>
      <c r="N73" s="646"/>
      <c r="O73" s="646"/>
      <c r="P73" s="646"/>
      <c r="Q73" s="646"/>
      <c r="R73" s="646"/>
      <c r="S73" s="646"/>
      <c r="T73" s="646"/>
      <c r="U73" s="646"/>
      <c r="V73" s="646"/>
      <c r="W73" s="662"/>
    </row>
    <row r="74" spans="1:23" s="663" customFormat="1" ht="20.25" customHeight="1">
      <c r="A74" s="688"/>
      <c r="D74" s="668"/>
      <c r="E74" s="646"/>
      <c r="F74" s="646"/>
      <c r="G74" s="646"/>
      <c r="H74" s="646"/>
      <c r="I74" s="646"/>
      <c r="J74" s="646"/>
      <c r="K74" s="646"/>
      <c r="L74" s="646"/>
      <c r="M74" s="646"/>
      <c r="N74" s="646"/>
      <c r="O74" s="646"/>
      <c r="P74" s="646"/>
      <c r="Q74" s="646"/>
      <c r="R74" s="646"/>
      <c r="S74" s="646"/>
      <c r="T74" s="646"/>
      <c r="U74" s="646"/>
      <c r="V74" s="646"/>
      <c r="W74" s="662"/>
    </row>
    <row r="75" spans="1:23" s="663" customFormat="1" ht="20.25" customHeight="1">
      <c r="A75" s="688"/>
      <c r="D75" s="668"/>
      <c r="E75" s="646"/>
      <c r="F75" s="646"/>
      <c r="G75" s="646"/>
      <c r="H75" s="646"/>
      <c r="I75" s="646"/>
      <c r="J75" s="646"/>
      <c r="K75" s="646"/>
      <c r="L75" s="646"/>
      <c r="M75" s="646"/>
      <c r="N75" s="646"/>
      <c r="O75" s="646"/>
      <c r="P75" s="646"/>
      <c r="Q75" s="646"/>
      <c r="R75" s="646"/>
      <c r="S75" s="646"/>
      <c r="T75" s="646"/>
      <c r="U75" s="646"/>
      <c r="V75" s="646"/>
      <c r="W75" s="662"/>
    </row>
    <row r="76" spans="1:23" s="663" customFormat="1" ht="20.25" customHeight="1">
      <c r="A76" s="688"/>
      <c r="D76" s="668"/>
      <c r="E76" s="646"/>
      <c r="F76" s="646"/>
      <c r="G76" s="646"/>
      <c r="H76" s="646"/>
      <c r="I76" s="646"/>
      <c r="J76" s="646"/>
      <c r="K76" s="646"/>
      <c r="L76" s="646"/>
      <c r="M76" s="646"/>
      <c r="N76" s="646"/>
      <c r="O76" s="646"/>
      <c r="P76" s="646"/>
      <c r="Q76" s="646"/>
      <c r="R76" s="646"/>
      <c r="S76" s="646"/>
      <c r="T76" s="646"/>
      <c r="U76" s="646"/>
      <c r="V76" s="646"/>
      <c r="W76" s="662"/>
    </row>
    <row r="77" spans="1:23" s="663" customFormat="1" ht="20.25" customHeight="1">
      <c r="A77" s="688"/>
      <c r="D77" s="668"/>
      <c r="E77" s="646"/>
      <c r="F77" s="646"/>
      <c r="G77" s="646"/>
      <c r="H77" s="646"/>
      <c r="I77" s="646"/>
      <c r="J77" s="646"/>
      <c r="K77" s="646"/>
      <c r="L77" s="646"/>
      <c r="M77" s="646"/>
      <c r="N77" s="646"/>
      <c r="O77" s="646"/>
      <c r="P77" s="646"/>
      <c r="Q77" s="646"/>
      <c r="R77" s="646"/>
      <c r="S77" s="646"/>
      <c r="T77" s="646"/>
      <c r="U77" s="646"/>
      <c r="V77" s="646"/>
      <c r="W77" s="662"/>
    </row>
    <row r="78" spans="1:23" s="663" customFormat="1" ht="20.25" customHeight="1">
      <c r="A78" s="688"/>
      <c r="D78" s="668"/>
      <c r="E78" s="646"/>
      <c r="F78" s="646"/>
      <c r="G78" s="646"/>
      <c r="H78" s="646"/>
      <c r="I78" s="646"/>
      <c r="J78" s="646"/>
      <c r="K78" s="646"/>
      <c r="L78" s="646"/>
      <c r="M78" s="646"/>
      <c r="N78" s="646"/>
      <c r="O78" s="646"/>
      <c r="P78" s="646"/>
      <c r="Q78" s="646"/>
      <c r="R78" s="646"/>
      <c r="S78" s="646"/>
      <c r="T78" s="646"/>
      <c r="U78" s="646"/>
      <c r="V78" s="646"/>
      <c r="W78" s="662"/>
    </row>
    <row r="79" spans="1:23" s="663" customFormat="1" ht="20.25" customHeight="1">
      <c r="A79" s="688"/>
      <c r="D79" s="668"/>
      <c r="E79" s="646"/>
      <c r="F79" s="646"/>
      <c r="G79" s="646"/>
      <c r="H79" s="646"/>
      <c r="I79" s="646"/>
      <c r="J79" s="646"/>
      <c r="K79" s="646"/>
      <c r="L79" s="646"/>
      <c r="M79" s="646"/>
      <c r="N79" s="646"/>
      <c r="O79" s="646"/>
      <c r="P79" s="646"/>
      <c r="Q79" s="646"/>
      <c r="R79" s="646"/>
      <c r="S79" s="646"/>
      <c r="T79" s="646"/>
      <c r="U79" s="646"/>
      <c r="V79" s="646"/>
      <c r="W79" s="662"/>
    </row>
    <row r="80" spans="1:23" s="663" customFormat="1" ht="20.25" customHeight="1">
      <c r="A80" s="688"/>
      <c r="D80" s="668"/>
      <c r="E80" s="646"/>
      <c r="F80" s="646"/>
      <c r="G80" s="646"/>
      <c r="H80" s="646"/>
      <c r="I80" s="646"/>
      <c r="J80" s="646"/>
      <c r="K80" s="646"/>
      <c r="L80" s="646"/>
      <c r="M80" s="646"/>
      <c r="N80" s="646"/>
      <c r="O80" s="646"/>
      <c r="P80" s="646"/>
      <c r="Q80" s="646"/>
      <c r="R80" s="646"/>
      <c r="S80" s="646"/>
      <c r="T80" s="646"/>
      <c r="U80" s="646"/>
      <c r="V80" s="646"/>
      <c r="W80" s="662"/>
    </row>
    <row r="81" spans="1:23" s="663" customFormat="1" ht="20.25" customHeight="1">
      <c r="A81" s="688"/>
      <c r="D81" s="668"/>
      <c r="E81" s="646"/>
      <c r="F81" s="646"/>
      <c r="G81" s="646"/>
      <c r="H81" s="646"/>
      <c r="I81" s="646"/>
      <c r="J81" s="646"/>
      <c r="K81" s="646"/>
      <c r="L81" s="646"/>
      <c r="M81" s="646"/>
      <c r="N81" s="646"/>
      <c r="O81" s="646"/>
      <c r="P81" s="646"/>
      <c r="Q81" s="646"/>
      <c r="R81" s="646"/>
      <c r="S81" s="646"/>
      <c r="T81" s="646"/>
      <c r="U81" s="646"/>
      <c r="V81" s="646"/>
      <c r="W81" s="662"/>
    </row>
    <row r="82" spans="1:23" s="663" customFormat="1" ht="20.25" customHeight="1">
      <c r="A82" s="688"/>
      <c r="D82" s="668"/>
      <c r="E82" s="646"/>
      <c r="F82" s="646"/>
      <c r="G82" s="646"/>
      <c r="H82" s="646"/>
      <c r="I82" s="646"/>
      <c r="J82" s="646"/>
      <c r="K82" s="646"/>
      <c r="L82" s="646"/>
      <c r="M82" s="646"/>
      <c r="N82" s="646"/>
      <c r="O82" s="646"/>
      <c r="P82" s="646"/>
      <c r="Q82" s="646"/>
      <c r="R82" s="646"/>
      <c r="S82" s="646"/>
      <c r="T82" s="646"/>
      <c r="U82" s="646"/>
      <c r="V82" s="646"/>
      <c r="W82" s="662"/>
    </row>
    <row r="83" spans="1:23" s="663" customFormat="1" ht="20.25" customHeight="1">
      <c r="A83" s="688"/>
      <c r="D83" s="668"/>
      <c r="E83" s="646"/>
      <c r="F83" s="646"/>
      <c r="G83" s="646"/>
      <c r="H83" s="646"/>
      <c r="I83" s="646"/>
      <c r="J83" s="646"/>
      <c r="K83" s="646"/>
      <c r="L83" s="646"/>
      <c r="M83" s="646"/>
      <c r="N83" s="646"/>
      <c r="O83" s="646"/>
      <c r="P83" s="646"/>
      <c r="Q83" s="646"/>
      <c r="R83" s="646"/>
      <c r="S83" s="646"/>
      <c r="T83" s="646"/>
      <c r="U83" s="646"/>
      <c r="V83" s="646"/>
      <c r="W83" s="662"/>
    </row>
    <row r="84" spans="1:23" s="663" customFormat="1" ht="20.25" customHeight="1">
      <c r="A84" s="688"/>
      <c r="D84" s="668"/>
      <c r="E84" s="646"/>
      <c r="F84" s="646"/>
      <c r="G84" s="646"/>
      <c r="H84" s="646"/>
      <c r="I84" s="646"/>
      <c r="J84" s="646"/>
      <c r="K84" s="646"/>
      <c r="L84" s="646"/>
      <c r="M84" s="646"/>
      <c r="N84" s="646"/>
      <c r="O84" s="646"/>
      <c r="P84" s="646"/>
      <c r="Q84" s="646"/>
      <c r="R84" s="646"/>
      <c r="S84" s="646"/>
      <c r="T84" s="646"/>
      <c r="U84" s="646"/>
      <c r="V84" s="646"/>
      <c r="W84" s="662"/>
    </row>
    <row r="85" spans="1:23" s="663" customFormat="1" ht="20.25" customHeight="1">
      <c r="A85" s="688"/>
      <c r="D85" s="668"/>
      <c r="E85" s="646"/>
      <c r="F85" s="646"/>
      <c r="G85" s="646"/>
      <c r="H85" s="646"/>
      <c r="I85" s="646"/>
      <c r="J85" s="646"/>
      <c r="K85" s="646"/>
      <c r="L85" s="646"/>
      <c r="M85" s="646"/>
      <c r="N85" s="646"/>
      <c r="O85" s="646"/>
      <c r="P85" s="646"/>
      <c r="Q85" s="646"/>
      <c r="R85" s="646"/>
      <c r="S85" s="646"/>
      <c r="T85" s="646"/>
      <c r="U85" s="646"/>
      <c r="V85" s="646"/>
      <c r="W85" s="662"/>
    </row>
    <row r="86" spans="1:23" s="663" customFormat="1" ht="20.25" customHeight="1">
      <c r="A86" s="688"/>
      <c r="D86" s="668"/>
      <c r="E86" s="646"/>
      <c r="F86" s="646"/>
      <c r="G86" s="646"/>
      <c r="H86" s="646"/>
      <c r="I86" s="646"/>
      <c r="J86" s="646"/>
      <c r="K86" s="646"/>
      <c r="L86" s="646"/>
      <c r="M86" s="646"/>
      <c r="N86" s="646"/>
      <c r="O86" s="646"/>
      <c r="P86" s="646"/>
      <c r="Q86" s="646"/>
      <c r="R86" s="646"/>
      <c r="S86" s="646"/>
      <c r="T86" s="646"/>
      <c r="U86" s="646"/>
      <c r="V86" s="646"/>
      <c r="W86" s="662"/>
    </row>
    <row r="87" spans="1:23" s="663" customFormat="1" ht="20.25" customHeight="1">
      <c r="A87" s="688"/>
      <c r="D87" s="668"/>
      <c r="E87" s="646"/>
      <c r="F87" s="646"/>
      <c r="G87" s="646"/>
      <c r="H87" s="646"/>
      <c r="I87" s="646"/>
      <c r="J87" s="646"/>
      <c r="K87" s="646"/>
      <c r="L87" s="646"/>
      <c r="M87" s="646"/>
      <c r="N87" s="646"/>
      <c r="O87" s="646"/>
      <c r="P87" s="646"/>
      <c r="Q87" s="646"/>
      <c r="R87" s="646"/>
      <c r="S87" s="646"/>
      <c r="T87" s="646"/>
      <c r="U87" s="646"/>
      <c r="V87" s="646"/>
      <c r="W87" s="662"/>
    </row>
    <row r="88" spans="1:23" s="663" customFormat="1" ht="20.25" customHeight="1">
      <c r="A88" s="688"/>
      <c r="D88" s="668"/>
      <c r="E88" s="646"/>
      <c r="F88" s="646"/>
      <c r="G88" s="646"/>
      <c r="H88" s="646"/>
      <c r="I88" s="646"/>
      <c r="J88" s="646"/>
      <c r="K88" s="646"/>
      <c r="L88" s="646"/>
      <c r="M88" s="646"/>
      <c r="N88" s="646"/>
      <c r="O88" s="646"/>
      <c r="P88" s="646"/>
      <c r="Q88" s="646"/>
      <c r="R88" s="646"/>
      <c r="S88" s="646"/>
      <c r="T88" s="646"/>
      <c r="U88" s="646"/>
      <c r="V88" s="646"/>
      <c r="W88" s="662"/>
    </row>
    <row r="89" spans="1:23" s="663" customFormat="1" ht="20.25" customHeight="1">
      <c r="A89" s="688"/>
      <c r="D89" s="668"/>
      <c r="E89" s="646"/>
      <c r="F89" s="646"/>
      <c r="G89" s="646"/>
      <c r="H89" s="646"/>
      <c r="I89" s="646"/>
      <c r="J89" s="646"/>
      <c r="K89" s="646"/>
      <c r="L89" s="646"/>
      <c r="M89" s="646"/>
      <c r="N89" s="646"/>
      <c r="O89" s="646"/>
      <c r="P89" s="646"/>
      <c r="Q89" s="646"/>
      <c r="R89" s="646"/>
      <c r="S89" s="646"/>
      <c r="T89" s="646"/>
      <c r="U89" s="646"/>
      <c r="V89" s="646"/>
      <c r="W89" s="662"/>
    </row>
    <row r="90" spans="1:23" s="663" customFormat="1" ht="20.25" customHeight="1">
      <c r="A90" s="688"/>
      <c r="D90" s="668"/>
      <c r="E90" s="646"/>
      <c r="F90" s="646"/>
      <c r="G90" s="646"/>
      <c r="H90" s="646"/>
      <c r="I90" s="646"/>
      <c r="J90" s="646"/>
      <c r="K90" s="646"/>
      <c r="L90" s="646"/>
      <c r="M90" s="646"/>
      <c r="N90" s="646"/>
      <c r="O90" s="646"/>
      <c r="P90" s="646"/>
      <c r="Q90" s="646"/>
      <c r="R90" s="646"/>
      <c r="S90" s="646"/>
      <c r="T90" s="646"/>
      <c r="U90" s="646"/>
      <c r="V90" s="646"/>
      <c r="W90" s="662"/>
    </row>
    <row r="91" spans="1:23" s="663" customFormat="1" ht="20.25" customHeight="1">
      <c r="A91" s="688"/>
      <c r="D91" s="668"/>
      <c r="E91" s="646"/>
      <c r="F91" s="646"/>
      <c r="G91" s="646"/>
      <c r="H91" s="646"/>
      <c r="I91" s="646"/>
      <c r="J91" s="646"/>
      <c r="K91" s="646"/>
      <c r="L91" s="646"/>
      <c r="M91" s="646"/>
      <c r="N91" s="646"/>
      <c r="O91" s="646"/>
      <c r="P91" s="646"/>
      <c r="Q91" s="646"/>
      <c r="R91" s="646"/>
      <c r="S91" s="646"/>
      <c r="T91" s="646"/>
      <c r="U91" s="646"/>
      <c r="V91" s="646"/>
      <c r="W91" s="662"/>
    </row>
    <row r="92" spans="1:23" s="663" customFormat="1" ht="20.25" customHeight="1">
      <c r="A92" s="688"/>
      <c r="D92" s="668"/>
      <c r="E92" s="646"/>
      <c r="F92" s="646"/>
      <c r="G92" s="646"/>
      <c r="H92" s="646"/>
      <c r="I92" s="646"/>
      <c r="J92" s="646"/>
      <c r="K92" s="646"/>
      <c r="L92" s="646"/>
      <c r="M92" s="646"/>
      <c r="N92" s="646"/>
      <c r="O92" s="646"/>
      <c r="P92" s="646"/>
      <c r="Q92" s="646"/>
      <c r="R92" s="646"/>
      <c r="S92" s="646"/>
      <c r="T92" s="646"/>
      <c r="U92" s="646"/>
      <c r="V92" s="646"/>
      <c r="W92" s="662"/>
    </row>
    <row r="93" spans="1:23" s="663" customFormat="1" ht="20.25" customHeight="1">
      <c r="A93" s="688"/>
      <c r="D93" s="668"/>
      <c r="E93" s="646"/>
      <c r="F93" s="646"/>
      <c r="G93" s="646"/>
      <c r="H93" s="646"/>
      <c r="I93" s="646"/>
      <c r="J93" s="646"/>
      <c r="K93" s="646"/>
      <c r="L93" s="646"/>
      <c r="M93" s="646"/>
      <c r="N93" s="646"/>
      <c r="O93" s="646"/>
      <c r="P93" s="646"/>
      <c r="Q93" s="646"/>
      <c r="R93" s="646"/>
      <c r="S93" s="646"/>
      <c r="T93" s="646"/>
      <c r="U93" s="646"/>
      <c r="V93" s="646"/>
      <c r="W93" s="662"/>
    </row>
    <row r="94" spans="1:23" s="663" customFormat="1" ht="20.25" customHeight="1">
      <c r="A94" s="689"/>
      <c r="D94" s="668"/>
      <c r="E94" s="646"/>
      <c r="F94" s="646"/>
      <c r="G94" s="646"/>
      <c r="H94" s="646"/>
      <c r="I94" s="646"/>
      <c r="J94" s="646"/>
      <c r="K94" s="646"/>
      <c r="L94" s="646"/>
      <c r="M94" s="646"/>
      <c r="N94" s="646"/>
      <c r="O94" s="646"/>
      <c r="P94" s="646"/>
      <c r="Q94" s="646"/>
      <c r="R94" s="646"/>
      <c r="S94" s="646"/>
      <c r="T94" s="646"/>
      <c r="U94" s="646"/>
      <c r="V94" s="646"/>
      <c r="W94" s="662"/>
    </row>
    <row r="95" spans="1:23" s="663" customFormat="1" ht="20.25" customHeight="1">
      <c r="A95" s="690"/>
      <c r="D95" s="668"/>
      <c r="E95" s="646"/>
      <c r="F95" s="646"/>
      <c r="G95" s="646"/>
      <c r="H95" s="646"/>
      <c r="I95" s="646"/>
      <c r="J95" s="646"/>
      <c r="K95" s="646"/>
      <c r="L95" s="646"/>
      <c r="M95" s="646"/>
      <c r="N95" s="646"/>
      <c r="O95" s="646"/>
      <c r="P95" s="646"/>
      <c r="Q95" s="646"/>
      <c r="R95" s="646"/>
      <c r="S95" s="646"/>
      <c r="T95" s="646"/>
      <c r="U95" s="646"/>
      <c r="V95" s="646"/>
      <c r="W95" s="662"/>
    </row>
    <row r="96" spans="1:23" s="663" customFormat="1" ht="20.25" customHeight="1">
      <c r="A96" s="690"/>
      <c r="D96" s="668"/>
      <c r="E96" s="646"/>
      <c r="F96" s="646"/>
      <c r="G96" s="646"/>
      <c r="H96" s="646"/>
      <c r="I96" s="646"/>
      <c r="J96" s="646"/>
      <c r="K96" s="646"/>
      <c r="L96" s="646"/>
      <c r="M96" s="646"/>
      <c r="N96" s="646"/>
      <c r="O96" s="646"/>
      <c r="P96" s="646"/>
      <c r="Q96" s="646"/>
      <c r="R96" s="646"/>
      <c r="S96" s="646"/>
      <c r="T96" s="646"/>
      <c r="U96" s="646"/>
      <c r="V96" s="646"/>
      <c r="W96" s="662"/>
    </row>
    <row r="97" spans="1:23" s="663" customFormat="1" ht="20.25" customHeight="1">
      <c r="A97" s="690"/>
      <c r="D97" s="668"/>
      <c r="E97" s="646"/>
      <c r="F97" s="646"/>
      <c r="G97" s="646"/>
      <c r="H97" s="646"/>
      <c r="I97" s="646"/>
      <c r="J97" s="646"/>
      <c r="K97" s="646"/>
      <c r="L97" s="646"/>
      <c r="M97" s="646"/>
      <c r="N97" s="646"/>
      <c r="O97" s="646"/>
      <c r="P97" s="646"/>
      <c r="Q97" s="646"/>
      <c r="R97" s="646"/>
      <c r="S97" s="646"/>
      <c r="T97" s="646"/>
      <c r="U97" s="646"/>
      <c r="V97" s="646"/>
      <c r="W97" s="662"/>
    </row>
    <row r="98" spans="1:23" s="663" customFormat="1" ht="20.25" customHeight="1">
      <c r="A98" s="690"/>
      <c r="D98" s="668"/>
      <c r="E98" s="646"/>
      <c r="F98" s="646"/>
      <c r="G98" s="646"/>
      <c r="H98" s="646"/>
      <c r="I98" s="646"/>
      <c r="J98" s="646"/>
      <c r="K98" s="646"/>
      <c r="L98" s="646"/>
      <c r="M98" s="646"/>
      <c r="N98" s="646"/>
      <c r="O98" s="646"/>
      <c r="P98" s="646"/>
      <c r="Q98" s="646"/>
      <c r="R98" s="646"/>
      <c r="S98" s="646"/>
      <c r="T98" s="646"/>
      <c r="U98" s="646"/>
      <c r="V98" s="646"/>
      <c r="W98" s="662"/>
    </row>
    <row r="99" spans="1:23" s="663" customFormat="1" ht="20.25" customHeight="1">
      <c r="A99" s="690"/>
      <c r="D99" s="668"/>
      <c r="E99" s="646"/>
      <c r="F99" s="646"/>
      <c r="G99" s="646"/>
      <c r="H99" s="646"/>
      <c r="I99" s="646"/>
      <c r="J99" s="646"/>
      <c r="K99" s="646"/>
      <c r="L99" s="646"/>
      <c r="M99" s="646"/>
      <c r="N99" s="646"/>
      <c r="O99" s="646"/>
      <c r="P99" s="646"/>
      <c r="Q99" s="646"/>
      <c r="R99" s="646"/>
      <c r="S99" s="646"/>
      <c r="T99" s="646"/>
      <c r="U99" s="646"/>
      <c r="V99" s="646"/>
      <c r="W99" s="662"/>
    </row>
    <row r="100" spans="1:23" s="663" customFormat="1" ht="20.25" customHeight="1">
      <c r="A100" s="690"/>
      <c r="D100" s="668"/>
      <c r="E100" s="646"/>
      <c r="F100" s="646"/>
      <c r="G100" s="646"/>
      <c r="H100" s="646"/>
      <c r="I100" s="646"/>
      <c r="J100" s="646"/>
      <c r="K100" s="646"/>
      <c r="L100" s="646"/>
      <c r="M100" s="646"/>
      <c r="N100" s="646"/>
      <c r="O100" s="646"/>
      <c r="P100" s="646"/>
      <c r="Q100" s="646"/>
      <c r="R100" s="646"/>
      <c r="S100" s="646"/>
      <c r="T100" s="646"/>
      <c r="U100" s="646"/>
      <c r="V100" s="646"/>
      <c r="W100" s="662"/>
    </row>
    <row r="101" spans="1:23" s="663" customFormat="1" ht="20.25" customHeight="1">
      <c r="A101" s="690"/>
      <c r="D101" s="668"/>
      <c r="E101" s="646"/>
      <c r="F101" s="646"/>
      <c r="G101" s="646"/>
      <c r="H101" s="646"/>
      <c r="I101" s="646"/>
      <c r="J101" s="646"/>
      <c r="K101" s="646"/>
      <c r="L101" s="646"/>
      <c r="M101" s="646"/>
      <c r="N101" s="646"/>
      <c r="O101" s="646"/>
      <c r="P101" s="646"/>
      <c r="Q101" s="646"/>
      <c r="R101" s="646"/>
      <c r="S101" s="646"/>
      <c r="T101" s="646"/>
      <c r="U101" s="646"/>
      <c r="V101" s="646"/>
      <c r="W101" s="662"/>
    </row>
    <row r="102" spans="1:23" s="663" customFormat="1" ht="20.25" customHeight="1">
      <c r="A102" s="690"/>
      <c r="D102" s="668"/>
      <c r="E102" s="646"/>
      <c r="F102" s="646"/>
      <c r="G102" s="646"/>
      <c r="H102" s="646"/>
      <c r="I102" s="646"/>
      <c r="J102" s="646"/>
      <c r="K102" s="646"/>
      <c r="L102" s="646"/>
      <c r="M102" s="646"/>
      <c r="N102" s="646"/>
      <c r="O102" s="646"/>
      <c r="P102" s="646"/>
      <c r="Q102" s="646"/>
      <c r="R102" s="646"/>
      <c r="S102" s="646"/>
      <c r="T102" s="646"/>
      <c r="U102" s="646"/>
      <c r="V102" s="646"/>
      <c r="W102" s="662"/>
    </row>
    <row r="103" spans="1:23" s="663" customFormat="1" ht="20.25" customHeight="1">
      <c r="A103" s="690"/>
      <c r="D103" s="668"/>
      <c r="E103" s="646"/>
      <c r="F103" s="646"/>
      <c r="G103" s="646"/>
      <c r="H103" s="646"/>
      <c r="I103" s="646"/>
      <c r="J103" s="646"/>
      <c r="K103" s="646"/>
      <c r="L103" s="646"/>
      <c r="M103" s="646"/>
      <c r="N103" s="646"/>
      <c r="O103" s="646"/>
      <c r="P103" s="646"/>
      <c r="Q103" s="646"/>
      <c r="R103" s="646"/>
      <c r="S103" s="646"/>
      <c r="T103" s="646"/>
      <c r="U103" s="646"/>
      <c r="V103" s="646"/>
      <c r="W103" s="662"/>
    </row>
    <row r="104" spans="1:23" s="663" customFormat="1" ht="20.25" customHeight="1">
      <c r="A104" s="690"/>
      <c r="D104" s="668"/>
      <c r="E104" s="646"/>
      <c r="F104" s="646"/>
      <c r="G104" s="646"/>
      <c r="H104" s="646"/>
      <c r="I104" s="646"/>
      <c r="J104" s="646"/>
      <c r="K104" s="646"/>
      <c r="L104" s="646"/>
      <c r="M104" s="646"/>
      <c r="N104" s="646"/>
      <c r="O104" s="646"/>
      <c r="P104" s="646"/>
      <c r="Q104" s="646"/>
      <c r="R104" s="646"/>
      <c r="S104" s="646"/>
      <c r="T104" s="646"/>
      <c r="U104" s="646"/>
      <c r="V104" s="646"/>
      <c r="W104" s="662"/>
    </row>
    <row r="105" spans="1:23" s="663" customFormat="1" ht="20.25" customHeight="1">
      <c r="A105" s="690"/>
      <c r="D105" s="668"/>
      <c r="E105" s="646"/>
      <c r="F105" s="646"/>
      <c r="G105" s="646"/>
      <c r="H105" s="646"/>
      <c r="I105" s="646"/>
      <c r="J105" s="646"/>
      <c r="K105" s="646"/>
      <c r="L105" s="646"/>
      <c r="M105" s="646"/>
      <c r="N105" s="646"/>
      <c r="O105" s="646"/>
      <c r="P105" s="646"/>
      <c r="Q105" s="646"/>
      <c r="R105" s="646"/>
      <c r="S105" s="646"/>
      <c r="T105" s="646"/>
      <c r="U105" s="646"/>
      <c r="V105" s="646"/>
      <c r="W105" s="662"/>
    </row>
    <row r="106" spans="1:23" s="663" customFormat="1" ht="20.25" customHeight="1">
      <c r="A106" s="690"/>
      <c r="D106" s="668"/>
      <c r="E106" s="646"/>
      <c r="F106" s="646"/>
      <c r="G106" s="646"/>
      <c r="H106" s="646"/>
      <c r="I106" s="646"/>
      <c r="J106" s="646"/>
      <c r="K106" s="646"/>
      <c r="L106" s="646"/>
      <c r="M106" s="646"/>
      <c r="N106" s="646"/>
      <c r="O106" s="646"/>
      <c r="P106" s="646"/>
      <c r="Q106" s="646"/>
      <c r="R106" s="646"/>
      <c r="S106" s="646"/>
      <c r="T106" s="646"/>
      <c r="U106" s="646"/>
      <c r="V106" s="646"/>
      <c r="W106" s="662"/>
    </row>
    <row r="107" spans="1:23" s="663" customFormat="1" ht="20.25" customHeight="1">
      <c r="A107" s="690"/>
      <c r="D107" s="668"/>
      <c r="E107" s="646"/>
      <c r="F107" s="646"/>
      <c r="G107" s="646"/>
      <c r="H107" s="646"/>
      <c r="I107" s="646"/>
      <c r="J107" s="646"/>
      <c r="K107" s="646"/>
      <c r="L107" s="646"/>
      <c r="M107" s="646"/>
      <c r="N107" s="646"/>
      <c r="O107" s="646"/>
      <c r="P107" s="646"/>
      <c r="Q107" s="646"/>
      <c r="R107" s="646"/>
      <c r="S107" s="646"/>
      <c r="T107" s="646"/>
      <c r="U107" s="646"/>
      <c r="V107" s="646"/>
      <c r="W107" s="662"/>
    </row>
    <row r="108" spans="1:23" s="663" customFormat="1" ht="20.25" customHeight="1">
      <c r="A108" s="690"/>
      <c r="D108" s="668"/>
      <c r="E108" s="646"/>
      <c r="F108" s="646"/>
      <c r="G108" s="646"/>
      <c r="H108" s="646"/>
      <c r="I108" s="646"/>
      <c r="J108" s="646"/>
      <c r="K108" s="646"/>
      <c r="L108" s="646"/>
      <c r="M108" s="646"/>
      <c r="N108" s="646"/>
      <c r="O108" s="646"/>
      <c r="P108" s="646"/>
      <c r="Q108" s="646"/>
      <c r="R108" s="646"/>
      <c r="S108" s="646"/>
      <c r="T108" s="646"/>
      <c r="U108" s="646"/>
      <c r="V108" s="646"/>
      <c r="W108" s="662"/>
    </row>
    <row r="109" spans="1:23" s="663" customFormat="1" ht="20.25" customHeight="1">
      <c r="A109" s="690"/>
      <c r="D109" s="668"/>
      <c r="E109" s="646"/>
      <c r="F109" s="646"/>
      <c r="G109" s="646"/>
      <c r="H109" s="646"/>
      <c r="I109" s="646"/>
      <c r="J109" s="646"/>
      <c r="K109" s="646"/>
      <c r="L109" s="646"/>
      <c r="M109" s="646"/>
      <c r="N109" s="646"/>
      <c r="O109" s="646"/>
      <c r="P109" s="646"/>
      <c r="Q109" s="646"/>
      <c r="R109" s="646"/>
      <c r="S109" s="646"/>
      <c r="T109" s="646"/>
      <c r="U109" s="646"/>
      <c r="V109" s="646"/>
      <c r="W109" s="662"/>
    </row>
    <row r="110" spans="1:23" s="663" customFormat="1" ht="20.25" customHeight="1">
      <c r="A110" s="690"/>
      <c r="D110" s="668"/>
      <c r="E110" s="646"/>
      <c r="F110" s="646"/>
      <c r="G110" s="646"/>
      <c r="H110" s="646"/>
      <c r="I110" s="646"/>
      <c r="J110" s="646"/>
      <c r="K110" s="646"/>
      <c r="L110" s="646"/>
      <c r="M110" s="646"/>
      <c r="N110" s="646"/>
      <c r="O110" s="646"/>
      <c r="P110" s="646"/>
      <c r="Q110" s="646"/>
      <c r="R110" s="646"/>
      <c r="S110" s="646"/>
      <c r="T110" s="646"/>
      <c r="U110" s="646"/>
      <c r="V110" s="646"/>
      <c r="W110" s="662"/>
    </row>
    <row r="111" spans="1:23" s="663" customFormat="1" ht="20.25" customHeight="1">
      <c r="A111" s="690"/>
      <c r="D111" s="668"/>
      <c r="E111" s="646"/>
      <c r="F111" s="646"/>
      <c r="G111" s="646"/>
      <c r="H111" s="646"/>
      <c r="I111" s="646"/>
      <c r="J111" s="646"/>
      <c r="K111" s="646"/>
      <c r="L111" s="646"/>
      <c r="M111" s="646"/>
      <c r="N111" s="646"/>
      <c r="O111" s="646"/>
      <c r="P111" s="646"/>
      <c r="Q111" s="646"/>
      <c r="R111" s="646"/>
      <c r="S111" s="646"/>
      <c r="T111" s="646"/>
      <c r="U111" s="646"/>
      <c r="V111" s="646"/>
      <c r="W111" s="662"/>
    </row>
    <row r="112" spans="1:23" s="663" customFormat="1" ht="20.25" customHeight="1">
      <c r="A112" s="690"/>
      <c r="D112" s="668"/>
      <c r="E112" s="646"/>
      <c r="F112" s="646"/>
      <c r="G112" s="646"/>
      <c r="H112" s="646"/>
      <c r="I112" s="646"/>
      <c r="J112" s="646"/>
      <c r="K112" s="646"/>
      <c r="L112" s="646"/>
      <c r="M112" s="646"/>
      <c r="N112" s="646"/>
      <c r="O112" s="646"/>
      <c r="P112" s="646"/>
      <c r="Q112" s="646"/>
      <c r="R112" s="646"/>
      <c r="S112" s="646"/>
      <c r="T112" s="646"/>
      <c r="U112" s="646"/>
      <c r="V112" s="646"/>
      <c r="W112" s="662"/>
    </row>
    <row r="113" spans="1:23" s="663" customFormat="1" ht="20.25" customHeight="1">
      <c r="A113" s="690"/>
      <c r="D113" s="668"/>
      <c r="E113" s="646"/>
      <c r="F113" s="646"/>
      <c r="G113" s="646"/>
      <c r="H113" s="646"/>
      <c r="I113" s="646"/>
      <c r="J113" s="646"/>
      <c r="K113" s="646"/>
      <c r="L113" s="646"/>
      <c r="M113" s="646"/>
      <c r="N113" s="646"/>
      <c r="O113" s="646"/>
      <c r="P113" s="646"/>
      <c r="Q113" s="646"/>
      <c r="R113" s="646"/>
      <c r="S113" s="646"/>
      <c r="T113" s="646"/>
      <c r="U113" s="646"/>
      <c r="V113" s="646"/>
      <c r="W113" s="662"/>
    </row>
    <row r="114" spans="1:23" s="663" customFormat="1" ht="20.25" customHeight="1">
      <c r="A114" s="690"/>
      <c r="D114" s="668"/>
      <c r="E114" s="646"/>
      <c r="F114" s="646"/>
      <c r="G114" s="646"/>
      <c r="H114" s="646"/>
      <c r="I114" s="646"/>
      <c r="J114" s="646"/>
      <c r="K114" s="646"/>
      <c r="L114" s="646"/>
      <c r="M114" s="646"/>
      <c r="N114" s="646"/>
      <c r="O114" s="646"/>
      <c r="P114" s="646"/>
      <c r="Q114" s="646"/>
      <c r="R114" s="646"/>
      <c r="S114" s="646"/>
      <c r="T114" s="646"/>
      <c r="U114" s="646"/>
      <c r="V114" s="646"/>
      <c r="W114" s="662"/>
    </row>
    <row r="115" spans="1:23" s="663" customFormat="1" ht="20.25" customHeight="1">
      <c r="A115" s="690"/>
      <c r="D115" s="668"/>
      <c r="E115" s="646"/>
      <c r="F115" s="646"/>
      <c r="G115" s="646"/>
      <c r="H115" s="646"/>
      <c r="I115" s="646"/>
      <c r="J115" s="646"/>
      <c r="K115" s="646"/>
      <c r="L115" s="646"/>
      <c r="M115" s="646"/>
      <c r="N115" s="646"/>
      <c r="O115" s="646"/>
      <c r="P115" s="646"/>
      <c r="Q115" s="646"/>
      <c r="R115" s="646"/>
      <c r="S115" s="646"/>
      <c r="T115" s="646"/>
      <c r="U115" s="646"/>
      <c r="V115" s="646"/>
      <c r="W115" s="662"/>
    </row>
    <row r="116" spans="1:23" s="663" customFormat="1" ht="20.25" customHeight="1">
      <c r="A116" s="690"/>
      <c r="D116" s="668"/>
      <c r="E116" s="646"/>
      <c r="F116" s="646"/>
      <c r="G116" s="646"/>
      <c r="H116" s="646"/>
      <c r="I116" s="646"/>
      <c r="J116" s="646"/>
      <c r="K116" s="646"/>
      <c r="L116" s="646"/>
      <c r="M116" s="646"/>
      <c r="N116" s="646"/>
      <c r="O116" s="646"/>
      <c r="P116" s="646"/>
      <c r="Q116" s="646"/>
      <c r="R116" s="646"/>
      <c r="S116" s="646"/>
      <c r="T116" s="646"/>
      <c r="U116" s="646"/>
      <c r="V116" s="646"/>
      <c r="W116" s="662"/>
    </row>
    <row r="117" spans="1:23" s="663" customFormat="1" ht="20.25" customHeight="1">
      <c r="A117" s="690"/>
      <c r="D117" s="668"/>
      <c r="E117" s="646"/>
      <c r="F117" s="646"/>
      <c r="G117" s="646"/>
      <c r="H117" s="646"/>
      <c r="I117" s="646"/>
      <c r="J117" s="646"/>
      <c r="K117" s="646"/>
      <c r="L117" s="646"/>
      <c r="M117" s="646"/>
      <c r="N117" s="646"/>
      <c r="O117" s="646"/>
      <c r="P117" s="646"/>
      <c r="Q117" s="646"/>
      <c r="R117" s="646"/>
      <c r="S117" s="646"/>
      <c r="T117" s="646"/>
      <c r="U117" s="646"/>
      <c r="V117" s="646"/>
      <c r="W117" s="662"/>
    </row>
    <row r="118" spans="1:23" s="663" customFormat="1" ht="20.25" customHeight="1">
      <c r="A118" s="690"/>
      <c r="D118" s="668"/>
      <c r="E118" s="646"/>
      <c r="F118" s="646"/>
      <c r="G118" s="646"/>
      <c r="H118" s="646"/>
      <c r="I118" s="646"/>
      <c r="J118" s="646"/>
      <c r="K118" s="646"/>
      <c r="L118" s="646"/>
      <c r="M118" s="646"/>
      <c r="N118" s="646"/>
      <c r="O118" s="646"/>
      <c r="P118" s="646"/>
      <c r="Q118" s="646"/>
      <c r="R118" s="646"/>
      <c r="S118" s="646"/>
      <c r="T118" s="646"/>
      <c r="U118" s="646"/>
      <c r="V118" s="646"/>
      <c r="W118" s="662"/>
    </row>
    <row r="119" spans="1:23" s="663" customFormat="1" ht="20.25" customHeight="1">
      <c r="A119" s="690"/>
      <c r="D119" s="668"/>
      <c r="E119" s="646"/>
      <c r="F119" s="646"/>
      <c r="G119" s="646"/>
      <c r="H119" s="646"/>
      <c r="I119" s="646"/>
      <c r="J119" s="646"/>
      <c r="K119" s="646"/>
      <c r="L119" s="646"/>
      <c r="M119" s="646"/>
      <c r="N119" s="646"/>
      <c r="O119" s="646"/>
      <c r="P119" s="646"/>
      <c r="Q119" s="646"/>
      <c r="R119" s="646"/>
      <c r="S119" s="646"/>
      <c r="T119" s="646"/>
      <c r="U119" s="646"/>
      <c r="V119" s="646"/>
      <c r="W119" s="662"/>
    </row>
    <row r="120" spans="1:23" s="663" customFormat="1" ht="20.25" customHeight="1">
      <c r="A120" s="690"/>
      <c r="D120" s="668"/>
      <c r="E120" s="646"/>
      <c r="F120" s="646"/>
      <c r="G120" s="646"/>
      <c r="H120" s="646"/>
      <c r="I120" s="646"/>
      <c r="J120" s="646"/>
      <c r="K120" s="646"/>
      <c r="L120" s="646"/>
      <c r="M120" s="646"/>
      <c r="N120" s="646"/>
      <c r="O120" s="646"/>
      <c r="P120" s="646"/>
      <c r="Q120" s="646"/>
      <c r="R120" s="646"/>
      <c r="S120" s="646"/>
      <c r="T120" s="646"/>
      <c r="U120" s="646"/>
      <c r="V120" s="646"/>
      <c r="W120" s="662"/>
    </row>
    <row r="121" spans="1:23" s="663" customFormat="1" ht="20.25" customHeight="1">
      <c r="A121" s="690"/>
      <c r="D121" s="668"/>
      <c r="E121" s="646"/>
      <c r="F121" s="646"/>
      <c r="G121" s="646"/>
      <c r="H121" s="646"/>
      <c r="I121" s="646"/>
      <c r="J121" s="646"/>
      <c r="K121" s="646"/>
      <c r="L121" s="646"/>
      <c r="M121" s="646"/>
      <c r="N121" s="646"/>
      <c r="O121" s="646"/>
      <c r="P121" s="646"/>
      <c r="Q121" s="646"/>
      <c r="R121" s="646"/>
      <c r="S121" s="646"/>
      <c r="T121" s="646"/>
      <c r="U121" s="646"/>
      <c r="V121" s="646"/>
      <c r="W121" s="662"/>
    </row>
    <row r="122" spans="1:23" s="663" customFormat="1" ht="20.25" customHeight="1">
      <c r="A122" s="690"/>
      <c r="D122" s="668"/>
      <c r="E122" s="646"/>
      <c r="F122" s="646"/>
      <c r="G122" s="646"/>
      <c r="H122" s="646"/>
      <c r="I122" s="646"/>
      <c r="J122" s="646"/>
      <c r="K122" s="646"/>
      <c r="L122" s="646"/>
      <c r="M122" s="646"/>
      <c r="N122" s="646"/>
      <c r="O122" s="646"/>
      <c r="P122" s="646"/>
      <c r="Q122" s="646"/>
      <c r="R122" s="646"/>
      <c r="S122" s="646"/>
      <c r="T122" s="646"/>
      <c r="U122" s="646"/>
      <c r="V122" s="646"/>
      <c r="W122" s="662"/>
    </row>
    <row r="123" spans="1:23" s="663" customFormat="1" ht="20.25" customHeight="1">
      <c r="A123" s="690"/>
      <c r="D123" s="668"/>
      <c r="E123" s="646"/>
      <c r="F123" s="646"/>
      <c r="G123" s="646"/>
      <c r="H123" s="646"/>
      <c r="I123" s="646"/>
      <c r="J123" s="646"/>
      <c r="K123" s="646"/>
      <c r="L123" s="646"/>
      <c r="M123" s="646"/>
      <c r="N123" s="646"/>
      <c r="O123" s="646"/>
      <c r="P123" s="646"/>
      <c r="Q123" s="646"/>
      <c r="R123" s="646"/>
      <c r="S123" s="646"/>
      <c r="T123" s="646"/>
      <c r="U123" s="646"/>
      <c r="V123" s="646"/>
      <c r="W123" s="662"/>
    </row>
    <row r="124" spans="1:23" s="663" customFormat="1" ht="20.25" customHeight="1">
      <c r="A124" s="690"/>
      <c r="D124" s="668"/>
      <c r="E124" s="646"/>
      <c r="F124" s="646"/>
      <c r="G124" s="646"/>
      <c r="H124" s="646"/>
      <c r="I124" s="646"/>
      <c r="J124" s="646"/>
      <c r="K124" s="646"/>
      <c r="L124" s="646"/>
      <c r="M124" s="646"/>
      <c r="N124" s="646"/>
      <c r="O124" s="646"/>
      <c r="P124" s="646"/>
      <c r="Q124" s="646"/>
      <c r="R124" s="646"/>
      <c r="S124" s="646"/>
      <c r="T124" s="646"/>
      <c r="U124" s="646"/>
      <c r="V124" s="646"/>
      <c r="W124" s="662"/>
    </row>
    <row r="125" spans="1:23" s="663" customFormat="1" ht="20.25" customHeight="1">
      <c r="A125" s="690"/>
      <c r="D125" s="668"/>
      <c r="E125" s="646"/>
      <c r="F125" s="646"/>
      <c r="G125" s="646"/>
      <c r="H125" s="646"/>
      <c r="I125" s="646"/>
      <c r="J125" s="646"/>
      <c r="K125" s="646"/>
      <c r="L125" s="646"/>
      <c r="M125" s="646"/>
      <c r="N125" s="646"/>
      <c r="O125" s="646"/>
      <c r="P125" s="646"/>
      <c r="Q125" s="646"/>
      <c r="R125" s="646"/>
      <c r="S125" s="646"/>
      <c r="T125" s="646"/>
      <c r="U125" s="646"/>
      <c r="V125" s="646"/>
      <c r="W125" s="662"/>
    </row>
    <row r="126" spans="1:23" s="663" customFormat="1" ht="20.25" customHeight="1">
      <c r="A126" s="690"/>
      <c r="D126" s="668"/>
      <c r="E126" s="646"/>
      <c r="F126" s="646"/>
      <c r="G126" s="646"/>
      <c r="H126" s="646"/>
      <c r="I126" s="646"/>
      <c r="J126" s="646"/>
      <c r="K126" s="646"/>
      <c r="L126" s="646"/>
      <c r="M126" s="646"/>
      <c r="N126" s="646"/>
      <c r="O126" s="646"/>
      <c r="P126" s="646"/>
      <c r="Q126" s="646"/>
      <c r="R126" s="646"/>
      <c r="S126" s="646"/>
      <c r="T126" s="646"/>
      <c r="U126" s="646"/>
      <c r="V126" s="646"/>
      <c r="W126" s="662"/>
    </row>
    <row r="127" spans="1:23" s="663" customFormat="1" ht="20.25" customHeight="1">
      <c r="A127" s="690"/>
      <c r="D127" s="668"/>
      <c r="E127" s="646"/>
      <c r="F127" s="646"/>
      <c r="G127" s="646"/>
      <c r="H127" s="646"/>
      <c r="I127" s="646"/>
      <c r="J127" s="646"/>
      <c r="K127" s="646"/>
      <c r="L127" s="646"/>
      <c r="M127" s="646"/>
      <c r="N127" s="646"/>
      <c r="O127" s="646"/>
      <c r="P127" s="646"/>
      <c r="Q127" s="646"/>
      <c r="R127" s="646"/>
      <c r="S127" s="646"/>
      <c r="T127" s="646"/>
      <c r="U127" s="646"/>
      <c r="V127" s="646"/>
      <c r="W127" s="662"/>
    </row>
    <row r="128" spans="1:23" s="663" customFormat="1" ht="20.25" customHeight="1">
      <c r="A128" s="690"/>
      <c r="D128" s="668"/>
      <c r="E128" s="646"/>
      <c r="F128" s="646"/>
      <c r="G128" s="646"/>
      <c r="H128" s="646"/>
      <c r="I128" s="646"/>
      <c r="J128" s="646"/>
      <c r="K128" s="646"/>
      <c r="L128" s="646"/>
      <c r="M128" s="646"/>
      <c r="N128" s="646"/>
      <c r="O128" s="646"/>
      <c r="P128" s="646"/>
      <c r="Q128" s="646"/>
      <c r="R128" s="646"/>
      <c r="S128" s="646"/>
      <c r="T128" s="646"/>
      <c r="U128" s="646"/>
      <c r="V128" s="646"/>
      <c r="W128" s="662"/>
    </row>
    <row r="129" spans="1:23" s="663" customFormat="1" ht="20.25" customHeight="1">
      <c r="A129" s="690"/>
      <c r="D129" s="668"/>
      <c r="E129" s="646"/>
      <c r="F129" s="646"/>
      <c r="G129" s="646"/>
      <c r="H129" s="646"/>
      <c r="I129" s="646"/>
      <c r="J129" s="646"/>
      <c r="K129" s="646"/>
      <c r="L129" s="646"/>
      <c r="M129" s="646"/>
      <c r="N129" s="646"/>
      <c r="O129" s="646"/>
      <c r="P129" s="646"/>
      <c r="Q129" s="646"/>
      <c r="R129" s="646"/>
      <c r="S129" s="646"/>
      <c r="T129" s="646"/>
      <c r="U129" s="646"/>
      <c r="V129" s="646"/>
      <c r="W129" s="662"/>
    </row>
    <row r="130" spans="1:23" s="663" customFormat="1" ht="20.25" customHeight="1">
      <c r="A130" s="690"/>
      <c r="D130" s="668"/>
      <c r="E130" s="646"/>
      <c r="F130" s="646"/>
      <c r="G130" s="646"/>
      <c r="H130" s="646"/>
      <c r="I130" s="646"/>
      <c r="J130" s="646"/>
      <c r="K130" s="646"/>
      <c r="L130" s="646"/>
      <c r="M130" s="646"/>
      <c r="N130" s="646"/>
      <c r="O130" s="646"/>
      <c r="P130" s="646"/>
      <c r="Q130" s="646"/>
      <c r="R130" s="646"/>
      <c r="S130" s="646"/>
      <c r="T130" s="646"/>
      <c r="U130" s="646"/>
      <c r="V130" s="646"/>
      <c r="W130" s="662"/>
    </row>
    <row r="131" spans="1:23" s="663" customFormat="1" ht="20.25" customHeight="1">
      <c r="A131" s="690"/>
      <c r="D131" s="668"/>
      <c r="E131" s="646"/>
      <c r="F131" s="646"/>
      <c r="G131" s="646"/>
      <c r="H131" s="646"/>
      <c r="I131" s="646"/>
      <c r="J131" s="646"/>
      <c r="K131" s="646"/>
      <c r="L131" s="646"/>
      <c r="M131" s="646"/>
      <c r="N131" s="646"/>
      <c r="O131" s="646"/>
      <c r="P131" s="646"/>
      <c r="Q131" s="646"/>
      <c r="R131" s="646"/>
      <c r="S131" s="646"/>
      <c r="T131" s="646"/>
      <c r="U131" s="646"/>
      <c r="V131" s="646"/>
      <c r="W131" s="662"/>
    </row>
    <row r="132" spans="1:23" s="663" customFormat="1" ht="20.25" customHeight="1">
      <c r="A132" s="690"/>
      <c r="D132" s="668"/>
      <c r="E132" s="646"/>
      <c r="F132" s="646"/>
      <c r="G132" s="646"/>
      <c r="H132" s="646"/>
      <c r="I132" s="646"/>
      <c r="J132" s="646"/>
      <c r="K132" s="646"/>
      <c r="L132" s="646"/>
      <c r="M132" s="646"/>
      <c r="N132" s="646"/>
      <c r="O132" s="646"/>
      <c r="P132" s="646"/>
      <c r="Q132" s="646"/>
      <c r="R132" s="646"/>
      <c r="S132" s="646"/>
      <c r="T132" s="646"/>
      <c r="U132" s="646"/>
      <c r="V132" s="646"/>
      <c r="W132" s="662"/>
    </row>
    <row r="133" spans="1:23" s="663" customFormat="1" ht="20.25" customHeight="1">
      <c r="A133" s="690"/>
      <c r="D133" s="668"/>
      <c r="E133" s="646"/>
      <c r="F133" s="646"/>
      <c r="G133" s="646"/>
      <c r="H133" s="646"/>
      <c r="I133" s="646"/>
      <c r="J133" s="646"/>
      <c r="K133" s="646"/>
      <c r="L133" s="646"/>
      <c r="M133" s="646"/>
      <c r="N133" s="646"/>
      <c r="O133" s="646"/>
      <c r="P133" s="646"/>
      <c r="Q133" s="646"/>
      <c r="R133" s="646"/>
      <c r="S133" s="646"/>
      <c r="T133" s="646"/>
      <c r="U133" s="646"/>
      <c r="V133" s="646"/>
      <c r="W133" s="662"/>
    </row>
    <row r="134" spans="1:23" s="663" customFormat="1" ht="20.25" customHeight="1">
      <c r="A134" s="690"/>
      <c r="D134" s="668"/>
      <c r="E134" s="646"/>
      <c r="F134" s="646"/>
      <c r="G134" s="646"/>
      <c r="H134" s="646"/>
      <c r="I134" s="646"/>
      <c r="J134" s="646"/>
      <c r="K134" s="646"/>
      <c r="L134" s="646"/>
      <c r="M134" s="646"/>
      <c r="N134" s="646"/>
      <c r="O134" s="646"/>
      <c r="P134" s="646"/>
      <c r="Q134" s="646"/>
      <c r="R134" s="646"/>
      <c r="S134" s="646"/>
      <c r="T134" s="646"/>
      <c r="U134" s="646"/>
      <c r="V134" s="646"/>
      <c r="W134" s="662"/>
    </row>
    <row r="135" spans="1:23" s="663" customFormat="1" ht="20.25" customHeight="1">
      <c r="A135" s="690"/>
      <c r="D135" s="668"/>
      <c r="E135" s="646"/>
      <c r="F135" s="646"/>
      <c r="G135" s="646"/>
      <c r="H135" s="646"/>
      <c r="I135" s="646"/>
      <c r="J135" s="646"/>
      <c r="K135" s="646"/>
      <c r="L135" s="646"/>
      <c r="M135" s="646"/>
      <c r="N135" s="646"/>
      <c r="O135" s="646"/>
      <c r="P135" s="646"/>
      <c r="Q135" s="646"/>
      <c r="R135" s="646"/>
      <c r="S135" s="646"/>
      <c r="T135" s="646"/>
      <c r="U135" s="646"/>
      <c r="V135" s="646"/>
      <c r="W135" s="662"/>
    </row>
    <row r="136" spans="1:23" s="663" customFormat="1" ht="20.25" customHeight="1">
      <c r="A136" s="690"/>
      <c r="D136" s="668"/>
      <c r="E136" s="646"/>
      <c r="F136" s="646"/>
      <c r="G136" s="646"/>
      <c r="H136" s="646"/>
      <c r="I136" s="646"/>
      <c r="J136" s="646"/>
      <c r="K136" s="646"/>
      <c r="L136" s="646"/>
      <c r="M136" s="646"/>
      <c r="N136" s="646"/>
      <c r="O136" s="646"/>
      <c r="P136" s="646"/>
      <c r="Q136" s="646"/>
      <c r="R136" s="646"/>
      <c r="S136" s="646"/>
      <c r="T136" s="646"/>
      <c r="U136" s="646"/>
      <c r="V136" s="646"/>
      <c r="W136" s="662"/>
    </row>
    <row r="137" spans="1:23" s="663" customFormat="1" ht="20.25" customHeight="1">
      <c r="A137" s="690"/>
      <c r="D137" s="668"/>
      <c r="E137" s="646"/>
      <c r="F137" s="646"/>
      <c r="G137" s="646"/>
      <c r="H137" s="646"/>
      <c r="I137" s="646"/>
      <c r="J137" s="646"/>
      <c r="K137" s="646"/>
      <c r="L137" s="646"/>
      <c r="M137" s="646"/>
      <c r="N137" s="646"/>
      <c r="O137" s="646"/>
      <c r="P137" s="646"/>
      <c r="Q137" s="646"/>
      <c r="R137" s="646"/>
      <c r="S137" s="646"/>
      <c r="T137" s="646"/>
      <c r="U137" s="646"/>
      <c r="V137" s="646"/>
      <c r="W137" s="662"/>
    </row>
    <row r="138" spans="1:23" s="663" customFormat="1" ht="20.25" customHeight="1">
      <c r="A138" s="690"/>
      <c r="D138" s="668"/>
      <c r="E138" s="646"/>
      <c r="F138" s="646"/>
      <c r="G138" s="646"/>
      <c r="H138" s="646"/>
      <c r="I138" s="646"/>
      <c r="J138" s="646"/>
      <c r="K138" s="646"/>
      <c r="L138" s="646"/>
      <c r="M138" s="646"/>
      <c r="N138" s="646"/>
      <c r="O138" s="646"/>
      <c r="P138" s="646"/>
      <c r="Q138" s="646"/>
      <c r="R138" s="646"/>
      <c r="S138" s="646"/>
      <c r="T138" s="646"/>
      <c r="U138" s="646"/>
      <c r="V138" s="646"/>
      <c r="W138" s="662"/>
    </row>
    <row r="139" spans="1:23" s="663" customFormat="1" ht="20.25" customHeight="1">
      <c r="A139" s="690"/>
      <c r="D139" s="668"/>
      <c r="E139" s="646"/>
      <c r="F139" s="646"/>
      <c r="G139" s="646"/>
      <c r="H139" s="646"/>
      <c r="I139" s="646"/>
      <c r="J139" s="646"/>
      <c r="K139" s="646"/>
      <c r="L139" s="646"/>
      <c r="M139" s="646"/>
      <c r="N139" s="646"/>
      <c r="O139" s="646"/>
      <c r="P139" s="646"/>
      <c r="Q139" s="646"/>
      <c r="R139" s="646"/>
      <c r="S139" s="646"/>
      <c r="T139" s="646"/>
      <c r="U139" s="646"/>
      <c r="V139" s="646"/>
      <c r="W139" s="662"/>
    </row>
    <row r="140" spans="1:23" s="663" customFormat="1" ht="20.25" customHeight="1">
      <c r="A140" s="690"/>
      <c r="D140" s="668"/>
      <c r="E140" s="646"/>
      <c r="F140" s="646"/>
      <c r="G140" s="646"/>
      <c r="H140" s="646"/>
      <c r="I140" s="646"/>
      <c r="J140" s="646"/>
      <c r="K140" s="646"/>
      <c r="L140" s="646"/>
      <c r="M140" s="646"/>
      <c r="N140" s="646"/>
      <c r="O140" s="646"/>
      <c r="P140" s="646"/>
      <c r="Q140" s="646"/>
      <c r="R140" s="646"/>
      <c r="S140" s="646"/>
      <c r="T140" s="646"/>
      <c r="U140" s="646"/>
      <c r="V140" s="646"/>
      <c r="W140" s="662"/>
    </row>
    <row r="141" spans="1:23" s="663" customFormat="1" ht="20.25" customHeight="1">
      <c r="A141" s="690"/>
      <c r="D141" s="668"/>
      <c r="E141" s="646"/>
      <c r="F141" s="646"/>
      <c r="G141" s="646"/>
      <c r="H141" s="646"/>
      <c r="I141" s="646"/>
      <c r="J141" s="646"/>
      <c r="K141" s="646"/>
      <c r="L141" s="646"/>
      <c r="M141" s="646"/>
      <c r="N141" s="646"/>
      <c r="O141" s="646"/>
      <c r="P141" s="646"/>
      <c r="Q141" s="646"/>
      <c r="R141" s="646"/>
      <c r="S141" s="646"/>
      <c r="T141" s="646"/>
      <c r="U141" s="646"/>
      <c r="V141" s="646"/>
      <c r="W141" s="662"/>
    </row>
    <row r="142" spans="1:23" s="663" customFormat="1" ht="20.25" customHeight="1">
      <c r="A142" s="690"/>
      <c r="D142" s="668"/>
      <c r="E142" s="646"/>
      <c r="F142" s="646"/>
      <c r="G142" s="646"/>
      <c r="H142" s="646"/>
      <c r="I142" s="646"/>
      <c r="J142" s="646"/>
      <c r="K142" s="646"/>
      <c r="L142" s="646"/>
      <c r="M142" s="646"/>
      <c r="N142" s="646"/>
      <c r="O142" s="646"/>
      <c r="P142" s="646"/>
      <c r="Q142" s="646"/>
      <c r="R142" s="646"/>
      <c r="S142" s="646"/>
      <c r="T142" s="646"/>
      <c r="U142" s="646"/>
      <c r="V142" s="646"/>
      <c r="W142" s="662"/>
    </row>
    <row r="143" spans="1:23" s="663" customFormat="1" ht="20.25" customHeight="1">
      <c r="A143" s="690"/>
      <c r="D143" s="668"/>
      <c r="E143" s="646"/>
      <c r="F143" s="646"/>
      <c r="G143" s="646"/>
      <c r="H143" s="646"/>
      <c r="I143" s="646"/>
      <c r="J143" s="646"/>
      <c r="K143" s="646"/>
      <c r="L143" s="646"/>
      <c r="M143" s="646"/>
      <c r="N143" s="646"/>
      <c r="O143" s="646"/>
      <c r="P143" s="646"/>
      <c r="Q143" s="646"/>
      <c r="R143" s="646"/>
      <c r="S143" s="646"/>
      <c r="T143" s="646"/>
      <c r="U143" s="646"/>
      <c r="V143" s="646"/>
      <c r="W143" s="662"/>
    </row>
    <row r="144" spans="1:23" s="663" customFormat="1" ht="20.25" customHeight="1">
      <c r="A144" s="690"/>
      <c r="D144" s="668"/>
      <c r="E144" s="646"/>
      <c r="F144" s="646"/>
      <c r="G144" s="646"/>
      <c r="H144" s="646"/>
      <c r="I144" s="646"/>
      <c r="J144" s="646"/>
      <c r="K144" s="646"/>
      <c r="L144" s="646"/>
      <c r="M144" s="646"/>
      <c r="N144" s="646"/>
      <c r="O144" s="646"/>
      <c r="P144" s="646"/>
      <c r="Q144" s="646"/>
      <c r="R144" s="646"/>
      <c r="S144" s="646"/>
      <c r="T144" s="646"/>
      <c r="U144" s="646"/>
      <c r="V144" s="646"/>
      <c r="W144" s="662"/>
    </row>
    <row r="145" spans="1:23" s="663" customFormat="1" ht="20.25" customHeight="1">
      <c r="A145" s="690"/>
      <c r="D145" s="668"/>
      <c r="E145" s="646"/>
      <c r="F145" s="646"/>
      <c r="G145" s="646"/>
      <c r="H145" s="646"/>
      <c r="I145" s="646"/>
      <c r="J145" s="646"/>
      <c r="K145" s="646"/>
      <c r="L145" s="646"/>
      <c r="M145" s="646"/>
      <c r="N145" s="646"/>
      <c r="O145" s="646"/>
      <c r="P145" s="646"/>
      <c r="Q145" s="646"/>
      <c r="R145" s="646"/>
      <c r="S145" s="646"/>
      <c r="T145" s="646"/>
      <c r="U145" s="646"/>
      <c r="V145" s="646"/>
      <c r="W145" s="662"/>
    </row>
    <row r="146" spans="1:23" s="663" customFormat="1" ht="20.25" customHeight="1">
      <c r="A146" s="690"/>
      <c r="D146" s="668"/>
      <c r="E146" s="646"/>
      <c r="F146" s="646"/>
      <c r="G146" s="646"/>
      <c r="H146" s="646"/>
      <c r="I146" s="646"/>
      <c r="J146" s="646"/>
      <c r="K146" s="646"/>
      <c r="L146" s="646"/>
      <c r="M146" s="646"/>
      <c r="N146" s="646"/>
      <c r="O146" s="646"/>
      <c r="P146" s="646"/>
      <c r="Q146" s="646"/>
      <c r="R146" s="646"/>
      <c r="S146" s="646"/>
      <c r="T146" s="646"/>
      <c r="U146" s="646"/>
      <c r="V146" s="646"/>
      <c r="W146" s="662"/>
    </row>
    <row r="147" spans="1:23" s="663" customFormat="1" ht="20.25" customHeight="1">
      <c r="A147" s="690"/>
      <c r="D147" s="668"/>
      <c r="E147" s="646"/>
      <c r="F147" s="646"/>
      <c r="G147" s="646"/>
      <c r="H147" s="646"/>
      <c r="I147" s="646"/>
      <c r="J147" s="646"/>
      <c r="K147" s="646"/>
      <c r="L147" s="646"/>
      <c r="M147" s="646"/>
      <c r="N147" s="646"/>
      <c r="O147" s="646"/>
      <c r="P147" s="646"/>
      <c r="Q147" s="646"/>
      <c r="R147" s="646"/>
      <c r="S147" s="646"/>
      <c r="T147" s="646"/>
      <c r="U147" s="646"/>
      <c r="V147" s="646"/>
      <c r="W147" s="662"/>
    </row>
    <row r="148" spans="1:23" s="663" customFormat="1" ht="20.25" customHeight="1">
      <c r="A148" s="690"/>
      <c r="D148" s="668"/>
      <c r="E148" s="646"/>
      <c r="F148" s="646"/>
      <c r="G148" s="646"/>
      <c r="H148" s="646"/>
      <c r="I148" s="646"/>
      <c r="J148" s="646"/>
      <c r="K148" s="646"/>
      <c r="L148" s="646"/>
      <c r="M148" s="646"/>
      <c r="N148" s="646"/>
      <c r="O148" s="646"/>
      <c r="P148" s="646"/>
      <c r="Q148" s="646"/>
      <c r="R148" s="646"/>
      <c r="S148" s="646"/>
      <c r="T148" s="646"/>
      <c r="U148" s="646"/>
      <c r="V148" s="646"/>
      <c r="W148" s="662"/>
    </row>
    <row r="149" spans="1:23" s="663" customFormat="1" ht="20.25" customHeight="1">
      <c r="A149" s="690"/>
      <c r="D149" s="668"/>
      <c r="E149" s="646"/>
      <c r="F149" s="646"/>
      <c r="G149" s="646"/>
      <c r="H149" s="646"/>
      <c r="I149" s="646"/>
      <c r="J149" s="646"/>
      <c r="K149" s="646"/>
      <c r="L149" s="646"/>
      <c r="M149" s="646"/>
      <c r="N149" s="646"/>
      <c r="O149" s="646"/>
      <c r="P149" s="646"/>
      <c r="Q149" s="646"/>
      <c r="R149" s="646"/>
      <c r="S149" s="646"/>
      <c r="T149" s="646"/>
      <c r="U149" s="646"/>
      <c r="V149" s="646"/>
      <c r="W149" s="662"/>
    </row>
    <row r="150" spans="1:23" s="663" customFormat="1" ht="20.25" customHeight="1">
      <c r="A150" s="690"/>
      <c r="D150" s="668"/>
      <c r="E150" s="646"/>
      <c r="F150" s="646"/>
      <c r="G150" s="646"/>
      <c r="H150" s="646"/>
      <c r="I150" s="646"/>
      <c r="J150" s="646"/>
      <c r="K150" s="646"/>
      <c r="L150" s="646"/>
      <c r="M150" s="646"/>
      <c r="N150" s="646"/>
      <c r="O150" s="646"/>
      <c r="P150" s="646"/>
      <c r="Q150" s="646"/>
      <c r="R150" s="646"/>
      <c r="S150" s="646"/>
      <c r="T150" s="646"/>
      <c r="U150" s="646"/>
      <c r="V150" s="646"/>
      <c r="W150" s="662"/>
    </row>
    <row r="151" spans="1:23" s="663" customFormat="1" ht="20.25" customHeight="1">
      <c r="A151" s="690"/>
      <c r="D151" s="668"/>
      <c r="E151" s="646"/>
      <c r="F151" s="646"/>
      <c r="G151" s="646"/>
      <c r="H151" s="646"/>
      <c r="I151" s="646"/>
      <c r="J151" s="646"/>
      <c r="K151" s="646"/>
      <c r="L151" s="646"/>
      <c r="M151" s="646"/>
      <c r="N151" s="646"/>
      <c r="O151" s="646"/>
      <c r="P151" s="646"/>
      <c r="Q151" s="646"/>
      <c r="R151" s="646"/>
      <c r="S151" s="646"/>
      <c r="T151" s="646"/>
      <c r="U151" s="646"/>
      <c r="V151" s="646"/>
      <c r="W151" s="662"/>
    </row>
    <row r="152" spans="1:23" s="663" customFormat="1" ht="20.25" customHeight="1">
      <c r="A152" s="690"/>
      <c r="D152" s="668"/>
      <c r="E152" s="646"/>
      <c r="F152" s="646"/>
      <c r="G152" s="646"/>
      <c r="H152" s="646"/>
      <c r="I152" s="646"/>
      <c r="J152" s="646"/>
      <c r="K152" s="646"/>
      <c r="L152" s="646"/>
      <c r="M152" s="646"/>
      <c r="N152" s="646"/>
      <c r="O152" s="646"/>
      <c r="P152" s="646"/>
      <c r="Q152" s="646"/>
      <c r="R152" s="646"/>
      <c r="S152" s="646"/>
      <c r="T152" s="646"/>
      <c r="U152" s="646"/>
      <c r="V152" s="646"/>
      <c r="W152" s="662"/>
    </row>
    <row r="153" spans="1:23" s="663" customFormat="1" ht="20.25" customHeight="1">
      <c r="A153" s="690"/>
      <c r="D153" s="668"/>
      <c r="E153" s="646"/>
      <c r="F153" s="646"/>
      <c r="G153" s="646"/>
      <c r="H153" s="646"/>
      <c r="I153" s="646"/>
      <c r="J153" s="646"/>
      <c r="K153" s="646"/>
      <c r="L153" s="646"/>
      <c r="M153" s="646"/>
      <c r="N153" s="646"/>
      <c r="O153" s="646"/>
      <c r="P153" s="646"/>
      <c r="Q153" s="646"/>
      <c r="R153" s="646"/>
      <c r="S153" s="646"/>
      <c r="T153" s="646"/>
      <c r="U153" s="646"/>
      <c r="V153" s="646"/>
      <c r="W153" s="662"/>
    </row>
    <row r="154" spans="1:23" s="663" customFormat="1" ht="20.25" customHeight="1">
      <c r="A154" s="690"/>
      <c r="D154" s="668"/>
      <c r="E154" s="646"/>
      <c r="F154" s="646"/>
      <c r="G154" s="646"/>
      <c r="H154" s="646"/>
      <c r="I154" s="646"/>
      <c r="J154" s="646"/>
      <c r="K154" s="646"/>
      <c r="L154" s="646"/>
      <c r="M154" s="646"/>
      <c r="N154" s="646"/>
      <c r="O154" s="646"/>
      <c r="P154" s="646"/>
      <c r="Q154" s="646"/>
      <c r="R154" s="646"/>
      <c r="S154" s="646"/>
      <c r="T154" s="646"/>
      <c r="U154" s="646"/>
      <c r="V154" s="646"/>
      <c r="W154" s="662"/>
    </row>
    <row r="155" spans="1:23" s="663" customFormat="1" ht="20.25" customHeight="1">
      <c r="A155" s="690"/>
      <c r="D155" s="668"/>
      <c r="E155" s="646"/>
      <c r="F155" s="646"/>
      <c r="G155" s="646"/>
      <c r="H155" s="646"/>
      <c r="I155" s="646"/>
      <c r="J155" s="646"/>
      <c r="K155" s="646"/>
      <c r="L155" s="646"/>
      <c r="M155" s="646"/>
      <c r="N155" s="646"/>
      <c r="O155" s="646"/>
      <c r="P155" s="646"/>
      <c r="Q155" s="646"/>
      <c r="R155" s="646"/>
      <c r="S155" s="646"/>
      <c r="T155" s="646"/>
      <c r="U155" s="646"/>
      <c r="V155" s="646"/>
      <c r="W155" s="662"/>
    </row>
    <row r="156" spans="1:23" ht="20.25" customHeight="1"/>
    <row r="157" spans="1:23" ht="20.25" customHeight="1"/>
    <row r="158" spans="1:23" ht="20.25" customHeight="1"/>
    <row r="159" spans="1:23" ht="20.25" customHeight="1"/>
    <row r="160" spans="1:23" ht="20.25" customHeight="1"/>
    <row r="161" ht="20.25" customHeight="1"/>
    <row r="162" ht="20.25" customHeight="1"/>
  </sheetData>
  <mergeCells count="15">
    <mergeCell ref="A2:W2"/>
    <mergeCell ref="A1:W1"/>
    <mergeCell ref="S3:W3"/>
    <mergeCell ref="C4:C5"/>
    <mergeCell ref="K3:P3"/>
    <mergeCell ref="A4:A5"/>
    <mergeCell ref="B4:B5"/>
    <mergeCell ref="W4:W5"/>
    <mergeCell ref="D4:D5"/>
    <mergeCell ref="B14:C14"/>
    <mergeCell ref="A21:A22"/>
    <mergeCell ref="B21:B22"/>
    <mergeCell ref="C21:C22"/>
    <mergeCell ref="E4:V4"/>
    <mergeCell ref="E21:V21"/>
  </mergeCells>
  <pageMargins left="0.26" right="0.2" top="0.64" bottom="0.43" header="0.63" footer="0.39"/>
  <pageSetup paperSize="9" orientation="landscape" r:id="rId1"/>
  <headerFooter>
    <oddFooter>&amp;L&amp;P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abSelected="1" topLeftCell="A28" workbookViewId="0">
      <selection activeCell="L40" sqref="L40"/>
    </sheetView>
  </sheetViews>
  <sheetFormatPr defaultColWidth="8.875" defaultRowHeight="15"/>
  <cols>
    <col min="1" max="1" width="3.5" style="697" customWidth="1"/>
    <col min="2" max="2" width="35.875" style="633" customWidth="1"/>
    <col min="3" max="3" width="6.5" style="633" customWidth="1"/>
    <col min="4" max="4" width="6.375" style="633" customWidth="1"/>
    <col min="5" max="8" width="7.5" style="633" customWidth="1"/>
    <col min="9" max="9" width="7.25" style="633" customWidth="1"/>
    <col min="10" max="10" width="6.875" style="633" customWidth="1"/>
    <col min="11" max="11" width="6.75" style="633" customWidth="1"/>
    <col min="12" max="13" width="7.5" style="633" customWidth="1"/>
    <col min="14" max="14" width="6.5" style="633" customWidth="1"/>
    <col min="15" max="15" width="6.875" style="633" customWidth="1"/>
    <col min="16" max="16" width="6.5" style="633" customWidth="1"/>
    <col min="17" max="17" width="11.75" style="633" customWidth="1"/>
    <col min="18" max="18" width="8.875" style="634"/>
    <col min="19" max="16384" width="8.875" style="633"/>
  </cols>
  <sheetData>
    <row r="1" spans="1:19" ht="42.75" customHeight="1">
      <c r="A1" s="637"/>
      <c r="B1" s="755" t="s">
        <v>1076</v>
      </c>
      <c r="C1" s="755"/>
      <c r="D1" s="755"/>
      <c r="E1" s="755"/>
      <c r="F1" s="755"/>
      <c r="G1" s="755"/>
      <c r="H1" s="755"/>
      <c r="I1" s="755"/>
      <c r="J1" s="755"/>
      <c r="K1" s="755"/>
      <c r="L1" s="755"/>
      <c r="M1" s="755"/>
      <c r="N1" s="755"/>
      <c r="O1" s="755"/>
      <c r="P1" s="755"/>
    </row>
    <row r="2" spans="1:19" ht="16.5" customHeight="1">
      <c r="A2" s="756" t="s">
        <v>1077</v>
      </c>
      <c r="B2" s="756"/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  <c r="P2" s="756"/>
    </row>
    <row r="3" spans="1:19" ht="15.75" customHeight="1">
      <c r="A3" s="638"/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630"/>
      <c r="O3" s="757"/>
      <c r="P3" s="757"/>
      <c r="Q3" s="632" t="s">
        <v>1043</v>
      </c>
    </row>
    <row r="4" spans="1:19" ht="17.25" customHeight="1">
      <c r="A4" s="758" t="s">
        <v>1</v>
      </c>
      <c r="B4" s="759" t="s">
        <v>999</v>
      </c>
      <c r="C4" s="761" t="s">
        <v>760</v>
      </c>
      <c r="D4" s="762" t="s">
        <v>83</v>
      </c>
      <c r="E4" s="764" t="s">
        <v>1044</v>
      </c>
      <c r="F4" s="764"/>
      <c r="G4" s="764"/>
      <c r="H4" s="764"/>
      <c r="I4" s="764"/>
      <c r="J4" s="764"/>
      <c r="K4" s="764"/>
      <c r="L4" s="764"/>
      <c r="M4" s="764"/>
      <c r="N4" s="764"/>
      <c r="O4" s="764"/>
      <c r="P4" s="765"/>
      <c r="Q4" s="764" t="s">
        <v>997</v>
      </c>
    </row>
    <row r="5" spans="1:19" ht="48.75" customHeight="1">
      <c r="A5" s="758"/>
      <c r="B5" s="760"/>
      <c r="C5" s="761"/>
      <c r="D5" s="763"/>
      <c r="E5" s="635" t="s">
        <v>1045</v>
      </c>
      <c r="F5" s="635" t="s">
        <v>1046</v>
      </c>
      <c r="G5" s="635" t="s">
        <v>1051</v>
      </c>
      <c r="H5" s="635" t="s">
        <v>1047</v>
      </c>
      <c r="I5" s="635" t="s">
        <v>1048</v>
      </c>
      <c r="J5" s="635" t="s">
        <v>1049</v>
      </c>
      <c r="K5" s="635" t="s">
        <v>1050</v>
      </c>
      <c r="L5" s="635" t="s">
        <v>1052</v>
      </c>
      <c r="M5" s="635" t="s">
        <v>1053</v>
      </c>
      <c r="N5" s="635" t="s">
        <v>1054</v>
      </c>
      <c r="O5" s="635" t="s">
        <v>1055</v>
      </c>
      <c r="P5" s="636" t="s">
        <v>1056</v>
      </c>
      <c r="Q5" s="764"/>
    </row>
    <row r="6" spans="1:19" ht="18" customHeight="1">
      <c r="A6" s="699">
        <v>1</v>
      </c>
      <c r="B6" s="700" t="s">
        <v>1000</v>
      </c>
      <c r="C6" s="701" t="s">
        <v>770</v>
      </c>
      <c r="D6" s="702">
        <f>E6+F6+G6+H6+I6+J6+K6+L6+M6+N6+O6+P6</f>
        <v>26</v>
      </c>
      <c r="E6" s="702">
        <v>4</v>
      </c>
      <c r="F6" s="702">
        <v>1</v>
      </c>
      <c r="G6" s="702">
        <v>3</v>
      </c>
      <c r="H6" s="702">
        <v>3</v>
      </c>
      <c r="I6" s="702">
        <v>1</v>
      </c>
      <c r="J6" s="702">
        <v>2</v>
      </c>
      <c r="K6" s="702">
        <v>2</v>
      </c>
      <c r="L6" s="702">
        <v>2</v>
      </c>
      <c r="M6" s="702">
        <v>2</v>
      </c>
      <c r="N6" s="702">
        <v>2</v>
      </c>
      <c r="O6" s="702">
        <v>2</v>
      </c>
      <c r="P6" s="703">
        <v>2</v>
      </c>
      <c r="Q6" s="704"/>
    </row>
    <row r="7" spans="1:19" ht="24" customHeight="1">
      <c r="A7" s="699">
        <v>2</v>
      </c>
      <c r="B7" s="766" t="s">
        <v>1001</v>
      </c>
      <c r="C7" s="767"/>
      <c r="D7" s="767"/>
      <c r="E7" s="767"/>
      <c r="F7" s="767"/>
      <c r="G7" s="767"/>
      <c r="H7" s="768"/>
      <c r="I7" s="705"/>
      <c r="J7" s="705"/>
      <c r="K7" s="705"/>
      <c r="L7" s="705"/>
      <c r="M7" s="705"/>
      <c r="N7" s="705"/>
      <c r="O7" s="706"/>
      <c r="P7" s="707"/>
      <c r="Q7" s="704"/>
    </row>
    <row r="8" spans="1:19" s="718" customFormat="1" ht="21.75" customHeight="1">
      <c r="A8" s="701">
        <v>2.1</v>
      </c>
      <c r="B8" s="708" t="s">
        <v>1002</v>
      </c>
      <c r="C8" s="701" t="s">
        <v>1003</v>
      </c>
      <c r="D8" s="702">
        <f>E8+F8+G8+H8+I8+J8+K8+L8+M8+N8+O8+P8</f>
        <v>5</v>
      </c>
      <c r="E8" s="706"/>
      <c r="F8" s="706"/>
      <c r="G8" s="706"/>
      <c r="H8" s="706"/>
      <c r="I8" s="706"/>
      <c r="J8" s="706"/>
      <c r="K8" s="706"/>
      <c r="L8" s="706">
        <v>1</v>
      </c>
      <c r="M8" s="706">
        <v>1</v>
      </c>
      <c r="N8" s="706">
        <v>1</v>
      </c>
      <c r="O8" s="706">
        <v>1</v>
      </c>
      <c r="P8" s="706">
        <v>1</v>
      </c>
      <c r="Q8" s="704"/>
    </row>
    <row r="9" spans="1:19" s="718" customFormat="1" ht="21.75" customHeight="1">
      <c r="A9" s="701">
        <v>2.2000000000000002</v>
      </c>
      <c r="B9" s="708" t="s">
        <v>1004</v>
      </c>
      <c r="C9" s="701" t="s">
        <v>1003</v>
      </c>
      <c r="D9" s="702">
        <f t="shared" ref="D9:D21" si="0">E9+F9+G9+H9+I9+J9+K9+L9+M9+N9+O9+P9</f>
        <v>5</v>
      </c>
      <c r="E9" s="706"/>
      <c r="F9" s="706"/>
      <c r="G9" s="706"/>
      <c r="H9" s="706"/>
      <c r="I9" s="706"/>
      <c r="J9" s="706"/>
      <c r="K9" s="706"/>
      <c r="L9" s="706">
        <v>1</v>
      </c>
      <c r="M9" s="706">
        <v>1</v>
      </c>
      <c r="N9" s="706">
        <v>1</v>
      </c>
      <c r="O9" s="706">
        <v>1</v>
      </c>
      <c r="P9" s="706">
        <v>1</v>
      </c>
      <c r="Q9" s="704"/>
    </row>
    <row r="10" spans="1:19" s="718" customFormat="1" ht="21.75" customHeight="1">
      <c r="A10" s="701">
        <v>2.2999999999999998</v>
      </c>
      <c r="B10" s="708" t="s">
        <v>1005</v>
      </c>
      <c r="C10" s="701" t="s">
        <v>1006</v>
      </c>
      <c r="D10" s="702">
        <f>E10+F10+G10+H10+I10+J10+K10+L10+M10+N10+O10+P10</f>
        <v>5</v>
      </c>
      <c r="E10" s="706"/>
      <c r="F10" s="706"/>
      <c r="G10" s="706"/>
      <c r="H10" s="706"/>
      <c r="I10" s="706"/>
      <c r="J10" s="706"/>
      <c r="K10" s="706"/>
      <c r="L10" s="706">
        <v>1</v>
      </c>
      <c r="M10" s="706">
        <v>1</v>
      </c>
      <c r="N10" s="706">
        <v>1</v>
      </c>
      <c r="O10" s="706">
        <v>1</v>
      </c>
      <c r="P10" s="706">
        <v>1</v>
      </c>
      <c r="Q10" s="704"/>
    </row>
    <row r="11" spans="1:19" s="718" customFormat="1" ht="21.75" customHeight="1">
      <c r="A11" s="701">
        <v>2.4</v>
      </c>
      <c r="B11" s="708" t="s">
        <v>1007</v>
      </c>
      <c r="C11" s="701" t="s">
        <v>1003</v>
      </c>
      <c r="D11" s="702">
        <f t="shared" si="0"/>
        <v>4</v>
      </c>
      <c r="E11" s="706"/>
      <c r="F11" s="706"/>
      <c r="G11" s="706"/>
      <c r="H11" s="706"/>
      <c r="I11" s="706"/>
      <c r="J11" s="706"/>
      <c r="K11" s="706"/>
      <c r="L11" s="706"/>
      <c r="M11" s="706">
        <v>1</v>
      </c>
      <c r="N11" s="706">
        <v>1</v>
      </c>
      <c r="O11" s="706">
        <v>1</v>
      </c>
      <c r="P11" s="706">
        <v>1</v>
      </c>
      <c r="Q11" s="704"/>
    </row>
    <row r="12" spans="1:19" s="718" customFormat="1" ht="21.75" customHeight="1">
      <c r="A12" s="701">
        <v>2.5</v>
      </c>
      <c r="B12" s="708" t="s">
        <v>1008</v>
      </c>
      <c r="C12" s="701" t="s">
        <v>325</v>
      </c>
      <c r="D12" s="702">
        <f t="shared" si="0"/>
        <v>250</v>
      </c>
      <c r="E12" s="706">
        <v>45</v>
      </c>
      <c r="F12" s="706">
        <v>17</v>
      </c>
      <c r="G12" s="706">
        <v>24</v>
      </c>
      <c r="H12" s="706">
        <v>22</v>
      </c>
      <c r="I12" s="706">
        <v>9</v>
      </c>
      <c r="J12" s="706">
        <v>18</v>
      </c>
      <c r="K12" s="706">
        <v>16</v>
      </c>
      <c r="L12" s="706">
        <v>16</v>
      </c>
      <c r="M12" s="706">
        <v>22</v>
      </c>
      <c r="N12" s="706">
        <v>22</v>
      </c>
      <c r="O12" s="706">
        <v>19</v>
      </c>
      <c r="P12" s="706">
        <v>20</v>
      </c>
      <c r="Q12" s="704"/>
    </row>
    <row r="13" spans="1:19" s="718" customFormat="1" ht="21.75" customHeight="1">
      <c r="A13" s="701">
        <v>2.6</v>
      </c>
      <c r="B13" s="708" t="s">
        <v>1009</v>
      </c>
      <c r="C13" s="701" t="s">
        <v>325</v>
      </c>
      <c r="D13" s="702">
        <f t="shared" si="0"/>
        <v>250</v>
      </c>
      <c r="E13" s="706">
        <v>45</v>
      </c>
      <c r="F13" s="706">
        <v>17</v>
      </c>
      <c r="G13" s="706">
        <v>23</v>
      </c>
      <c r="H13" s="706">
        <v>22</v>
      </c>
      <c r="I13" s="706">
        <v>8</v>
      </c>
      <c r="J13" s="706">
        <v>18</v>
      </c>
      <c r="K13" s="706">
        <v>16</v>
      </c>
      <c r="L13" s="706">
        <v>16</v>
      </c>
      <c r="M13" s="706">
        <v>22</v>
      </c>
      <c r="N13" s="706">
        <v>22</v>
      </c>
      <c r="O13" s="706">
        <v>20</v>
      </c>
      <c r="P13" s="706">
        <v>21</v>
      </c>
      <c r="Q13" s="704"/>
      <c r="S13" s="698"/>
    </row>
    <row r="14" spans="1:19" s="718" customFormat="1" ht="21.75" customHeight="1">
      <c r="A14" s="701">
        <v>2.7</v>
      </c>
      <c r="B14" s="708" t="s">
        <v>1010</v>
      </c>
      <c r="C14" s="701" t="s">
        <v>1006</v>
      </c>
      <c r="D14" s="702">
        <f t="shared" si="0"/>
        <v>1000</v>
      </c>
      <c r="E14" s="706">
        <v>160</v>
      </c>
      <c r="F14" s="706">
        <v>40</v>
      </c>
      <c r="G14" s="706">
        <v>120</v>
      </c>
      <c r="H14" s="706">
        <v>120</v>
      </c>
      <c r="I14" s="706">
        <v>40</v>
      </c>
      <c r="J14" s="706">
        <v>40</v>
      </c>
      <c r="K14" s="706">
        <v>80</v>
      </c>
      <c r="L14" s="706">
        <v>80</v>
      </c>
      <c r="M14" s="706">
        <v>80</v>
      </c>
      <c r="N14" s="706">
        <v>80</v>
      </c>
      <c r="O14" s="706">
        <v>80</v>
      </c>
      <c r="P14" s="706">
        <v>80</v>
      </c>
      <c r="Q14" s="704"/>
    </row>
    <row r="15" spans="1:19" s="718" customFormat="1" ht="21" customHeight="1">
      <c r="A15" s="699">
        <v>3</v>
      </c>
      <c r="B15" s="769" t="s">
        <v>1011</v>
      </c>
      <c r="C15" s="769"/>
      <c r="D15" s="769"/>
      <c r="E15" s="769"/>
      <c r="F15" s="769"/>
      <c r="G15" s="769"/>
      <c r="H15" s="769"/>
      <c r="I15" s="769"/>
      <c r="J15" s="705"/>
      <c r="K15" s="705"/>
      <c r="L15" s="705"/>
      <c r="M15" s="705"/>
      <c r="N15" s="705"/>
      <c r="O15" s="705"/>
      <c r="P15" s="705"/>
      <c r="Q15" s="704"/>
    </row>
    <row r="16" spans="1:19" s="718" customFormat="1" ht="52.5" customHeight="1">
      <c r="A16" s="701">
        <v>3.1</v>
      </c>
      <c r="B16" s="708" t="s">
        <v>1041</v>
      </c>
      <c r="C16" s="701" t="s">
        <v>996</v>
      </c>
      <c r="D16" s="702">
        <f t="shared" si="0"/>
        <v>28</v>
      </c>
      <c r="E16" s="702">
        <v>4</v>
      </c>
      <c r="F16" s="702">
        <v>1</v>
      </c>
      <c r="G16" s="702">
        <v>3</v>
      </c>
      <c r="H16" s="702">
        <v>3</v>
      </c>
      <c r="I16" s="702">
        <v>1</v>
      </c>
      <c r="J16" s="702">
        <v>2</v>
      </c>
      <c r="K16" s="702">
        <v>2</v>
      </c>
      <c r="L16" s="702">
        <v>2</v>
      </c>
      <c r="M16" s="702">
        <v>2</v>
      </c>
      <c r="N16" s="702">
        <v>2</v>
      </c>
      <c r="O16" s="702">
        <v>3</v>
      </c>
      <c r="P16" s="703">
        <v>3</v>
      </c>
      <c r="Q16" s="704"/>
    </row>
    <row r="17" spans="1:18" s="718" customFormat="1" ht="48" customHeight="1">
      <c r="A17" s="701">
        <v>3.2</v>
      </c>
      <c r="B17" s="708" t="s">
        <v>1012</v>
      </c>
      <c r="C17" s="701" t="s">
        <v>996</v>
      </c>
      <c r="D17" s="702">
        <f t="shared" si="0"/>
        <v>28</v>
      </c>
      <c r="E17" s="702">
        <v>4</v>
      </c>
      <c r="F17" s="702">
        <v>1</v>
      </c>
      <c r="G17" s="702">
        <v>3</v>
      </c>
      <c r="H17" s="702">
        <v>3</v>
      </c>
      <c r="I17" s="702">
        <v>1</v>
      </c>
      <c r="J17" s="702">
        <v>2</v>
      </c>
      <c r="K17" s="702">
        <v>2</v>
      </c>
      <c r="L17" s="702">
        <v>2</v>
      </c>
      <c r="M17" s="702">
        <v>2</v>
      </c>
      <c r="N17" s="702">
        <v>2</v>
      </c>
      <c r="O17" s="702">
        <v>3</v>
      </c>
      <c r="P17" s="703">
        <v>3</v>
      </c>
      <c r="Q17" s="702"/>
    </row>
    <row r="18" spans="1:18" s="718" customFormat="1" ht="24.75" customHeight="1">
      <c r="A18" s="701">
        <v>3.4</v>
      </c>
      <c r="B18" s="708" t="s">
        <v>1013</v>
      </c>
      <c r="C18" s="701" t="s">
        <v>770</v>
      </c>
      <c r="D18" s="702">
        <f t="shared" si="0"/>
        <v>26</v>
      </c>
      <c r="E18" s="702">
        <v>4</v>
      </c>
      <c r="F18" s="702">
        <v>1</v>
      </c>
      <c r="G18" s="702">
        <v>3</v>
      </c>
      <c r="H18" s="702">
        <v>3</v>
      </c>
      <c r="I18" s="702">
        <v>1</v>
      </c>
      <c r="J18" s="702">
        <v>2</v>
      </c>
      <c r="K18" s="702">
        <v>2</v>
      </c>
      <c r="L18" s="702">
        <v>2</v>
      </c>
      <c r="M18" s="702">
        <v>2</v>
      </c>
      <c r="N18" s="702">
        <v>2</v>
      </c>
      <c r="O18" s="702">
        <v>2</v>
      </c>
      <c r="P18" s="702">
        <v>2</v>
      </c>
      <c r="Q18" s="704"/>
    </row>
    <row r="19" spans="1:18" s="718" customFormat="1" ht="23.25" customHeight="1">
      <c r="A19" s="699">
        <v>4</v>
      </c>
      <c r="B19" s="700" t="s">
        <v>1014</v>
      </c>
      <c r="C19" s="699"/>
      <c r="D19" s="702"/>
      <c r="E19" s="705"/>
      <c r="F19" s="705"/>
      <c r="G19" s="705"/>
      <c r="H19" s="705"/>
      <c r="I19" s="705"/>
      <c r="J19" s="705"/>
      <c r="K19" s="705"/>
      <c r="L19" s="705"/>
      <c r="M19" s="705"/>
      <c r="N19" s="705"/>
      <c r="O19" s="706"/>
      <c r="P19" s="706"/>
      <c r="Q19" s="704"/>
    </row>
    <row r="20" spans="1:18" s="718" customFormat="1" ht="24.75" customHeight="1">
      <c r="A20" s="701">
        <v>4.0999999999999996</v>
      </c>
      <c r="B20" s="708" t="s">
        <v>1015</v>
      </c>
      <c r="C20" s="701" t="s">
        <v>996</v>
      </c>
      <c r="D20" s="702">
        <f t="shared" si="0"/>
        <v>0</v>
      </c>
      <c r="E20" s="709">
        <v>0</v>
      </c>
      <c r="F20" s="709">
        <v>0</v>
      </c>
      <c r="G20" s="709">
        <v>0</v>
      </c>
      <c r="H20" s="709">
        <v>0</v>
      </c>
      <c r="I20" s="709">
        <v>0</v>
      </c>
      <c r="J20" s="709">
        <v>0</v>
      </c>
      <c r="K20" s="709">
        <v>0</v>
      </c>
      <c r="L20" s="709">
        <v>0</v>
      </c>
      <c r="M20" s="709">
        <v>0</v>
      </c>
      <c r="N20" s="709">
        <v>0</v>
      </c>
      <c r="O20" s="709">
        <v>0</v>
      </c>
      <c r="P20" s="709">
        <v>0</v>
      </c>
      <c r="Q20" s="704"/>
    </row>
    <row r="21" spans="1:18" s="718" customFormat="1" ht="33.75" customHeight="1">
      <c r="A21" s="701">
        <v>4.2</v>
      </c>
      <c r="B21" s="708" t="s">
        <v>1042</v>
      </c>
      <c r="C21" s="701" t="s">
        <v>996</v>
      </c>
      <c r="D21" s="702">
        <f t="shared" si="0"/>
        <v>4</v>
      </c>
      <c r="E21" s="702"/>
      <c r="F21" s="702"/>
      <c r="G21" s="702"/>
      <c r="H21" s="702"/>
      <c r="I21" s="702"/>
      <c r="J21" s="702"/>
      <c r="K21" s="702"/>
      <c r="L21" s="702"/>
      <c r="M21" s="702"/>
      <c r="N21" s="702"/>
      <c r="O21" s="702">
        <v>2</v>
      </c>
      <c r="P21" s="703">
        <v>2</v>
      </c>
      <c r="Q21" s="704"/>
    </row>
    <row r="22" spans="1:18" s="718" customFormat="1" ht="29.25" customHeight="1">
      <c r="A22" s="770" t="s">
        <v>1</v>
      </c>
      <c r="B22" s="770" t="s">
        <v>1016</v>
      </c>
      <c r="C22" s="770" t="s">
        <v>760</v>
      </c>
      <c r="D22" s="771" t="s">
        <v>83</v>
      </c>
      <c r="E22" s="772" t="s">
        <v>1036</v>
      </c>
      <c r="F22" s="772"/>
      <c r="G22" s="772"/>
      <c r="H22" s="772"/>
      <c r="I22" s="772"/>
      <c r="J22" s="772"/>
      <c r="K22" s="772"/>
      <c r="L22" s="772"/>
      <c r="M22" s="772"/>
      <c r="N22" s="772"/>
      <c r="O22" s="772"/>
      <c r="P22" s="772"/>
      <c r="Q22" s="771" t="s">
        <v>1030</v>
      </c>
    </row>
    <row r="23" spans="1:18" s="718" customFormat="1" ht="54.75" customHeight="1">
      <c r="A23" s="770"/>
      <c r="B23" s="770"/>
      <c r="C23" s="770"/>
      <c r="D23" s="771"/>
      <c r="E23" s="701" t="s">
        <v>1045</v>
      </c>
      <c r="F23" s="701" t="s">
        <v>1046</v>
      </c>
      <c r="G23" s="701" t="s">
        <v>1051</v>
      </c>
      <c r="H23" s="701" t="s">
        <v>1047</v>
      </c>
      <c r="I23" s="701" t="s">
        <v>1048</v>
      </c>
      <c r="J23" s="701" t="s">
        <v>1049</v>
      </c>
      <c r="K23" s="701" t="s">
        <v>1050</v>
      </c>
      <c r="L23" s="701" t="s">
        <v>1052</v>
      </c>
      <c r="M23" s="701" t="s">
        <v>1053</v>
      </c>
      <c r="N23" s="701" t="s">
        <v>1054</v>
      </c>
      <c r="O23" s="701" t="s">
        <v>1055</v>
      </c>
      <c r="P23" s="701" t="s">
        <v>1056</v>
      </c>
      <c r="Q23" s="771"/>
    </row>
    <row r="24" spans="1:18" s="718" customFormat="1" ht="24.95" customHeight="1">
      <c r="A24" s="710"/>
      <c r="B24" s="710" t="s">
        <v>1017</v>
      </c>
      <c r="C24" s="701" t="s">
        <v>1018</v>
      </c>
      <c r="D24" s="711">
        <f>D25+D26+D34+D40</f>
        <v>1057</v>
      </c>
      <c r="E24" s="712">
        <f>E25+E26+E34+E40</f>
        <v>96.8</v>
      </c>
      <c r="F24" s="712">
        <f t="shared" ref="F24:P24" si="1">F25+F26+F34+F40</f>
        <v>25.4</v>
      </c>
      <c r="G24" s="712">
        <f t="shared" si="1"/>
        <v>68.400000000000006</v>
      </c>
      <c r="H24" s="712">
        <f t="shared" si="1"/>
        <v>62.8</v>
      </c>
      <c r="I24" s="712">
        <f t="shared" si="1"/>
        <v>23.8</v>
      </c>
      <c r="J24" s="712">
        <f t="shared" si="1"/>
        <v>47.4</v>
      </c>
      <c r="K24" s="712">
        <f t="shared" si="1"/>
        <v>47.4</v>
      </c>
      <c r="L24" s="712">
        <f t="shared" si="1"/>
        <v>103.80000000000001</v>
      </c>
      <c r="M24" s="712">
        <f t="shared" si="1"/>
        <v>138.20000000000002</v>
      </c>
      <c r="N24" s="712">
        <f t="shared" si="1"/>
        <v>138.20000000000002</v>
      </c>
      <c r="O24" s="712">
        <f t="shared" si="1"/>
        <v>152.19999999999999</v>
      </c>
      <c r="P24" s="712">
        <f t="shared" si="1"/>
        <v>152.60000000000002</v>
      </c>
      <c r="Q24" s="771"/>
    </row>
    <row r="25" spans="1:18" s="718" customFormat="1" ht="24.75" customHeight="1">
      <c r="A25" s="699">
        <v>1</v>
      </c>
      <c r="B25" s="700" t="s">
        <v>1000</v>
      </c>
      <c r="C25" s="701" t="s">
        <v>1018</v>
      </c>
      <c r="D25" s="713">
        <f>E25+F25+G25+H25+I25+J25+K25+L25+M25+N25+O25+P25</f>
        <v>130</v>
      </c>
      <c r="E25" s="702">
        <v>20</v>
      </c>
      <c r="F25" s="702">
        <v>5</v>
      </c>
      <c r="G25" s="702">
        <v>15</v>
      </c>
      <c r="H25" s="702">
        <v>15</v>
      </c>
      <c r="I25" s="702">
        <v>5</v>
      </c>
      <c r="J25" s="702">
        <v>10</v>
      </c>
      <c r="K25" s="702">
        <v>10</v>
      </c>
      <c r="L25" s="702">
        <v>10</v>
      </c>
      <c r="M25" s="702">
        <v>10</v>
      </c>
      <c r="N25" s="702">
        <v>10</v>
      </c>
      <c r="O25" s="702">
        <v>10</v>
      </c>
      <c r="P25" s="702">
        <v>10</v>
      </c>
      <c r="Q25" s="631" t="s">
        <v>1039</v>
      </c>
      <c r="R25" s="719"/>
    </row>
    <row r="26" spans="1:18" s="718" customFormat="1" ht="24.75" customHeight="1">
      <c r="A26" s="699">
        <v>2</v>
      </c>
      <c r="B26" s="769" t="s">
        <v>1001</v>
      </c>
      <c r="C26" s="769"/>
      <c r="D26" s="713">
        <f>D27+D28+D29+D30+D31+D32+D33</f>
        <v>495</v>
      </c>
      <c r="E26" s="713">
        <f>E27+E28+E29+E30+E31+E32+E33</f>
        <v>18</v>
      </c>
      <c r="F26" s="713">
        <f t="shared" ref="F26:P26" si="2">F27+F28+F29+F30+F31+F32+F33</f>
        <v>5.6</v>
      </c>
      <c r="G26" s="713">
        <f t="shared" si="2"/>
        <v>9.1999999999999993</v>
      </c>
      <c r="H26" s="713">
        <f t="shared" si="2"/>
        <v>8.8000000000000007</v>
      </c>
      <c r="I26" s="713">
        <f t="shared" si="2"/>
        <v>4</v>
      </c>
      <c r="J26" s="713">
        <f t="shared" si="2"/>
        <v>8</v>
      </c>
      <c r="K26" s="713">
        <f t="shared" si="2"/>
        <v>8</v>
      </c>
      <c r="L26" s="713">
        <f t="shared" si="2"/>
        <v>59.400000000000006</v>
      </c>
      <c r="M26" s="713">
        <f t="shared" si="2"/>
        <v>93.800000000000011</v>
      </c>
      <c r="N26" s="713">
        <f t="shared" si="2"/>
        <v>93.800000000000011</v>
      </c>
      <c r="O26" s="713">
        <f t="shared" si="2"/>
        <v>93</v>
      </c>
      <c r="P26" s="713">
        <f t="shared" si="2"/>
        <v>93.4</v>
      </c>
      <c r="Q26" s="631" t="s">
        <v>1039</v>
      </c>
      <c r="R26" s="719"/>
    </row>
    <row r="27" spans="1:18" s="718" customFormat="1" ht="24.75" customHeight="1">
      <c r="A27" s="701">
        <v>2.1</v>
      </c>
      <c r="B27" s="708" t="s">
        <v>1002</v>
      </c>
      <c r="C27" s="701" t="s">
        <v>1018</v>
      </c>
      <c r="D27" s="713">
        <f t="shared" ref="D27:D33" si="3">E27+F27+G27+H27+I27+J27+K27+L27+M27+N27+O27+P27</f>
        <v>250</v>
      </c>
      <c r="E27" s="716"/>
      <c r="F27" s="716"/>
      <c r="G27" s="716"/>
      <c r="H27" s="716"/>
      <c r="I27" s="716"/>
      <c r="J27" s="716"/>
      <c r="K27" s="716"/>
      <c r="L27" s="716">
        <v>50</v>
      </c>
      <c r="M27" s="716">
        <v>50</v>
      </c>
      <c r="N27" s="716">
        <v>50</v>
      </c>
      <c r="O27" s="716">
        <v>50</v>
      </c>
      <c r="P27" s="716">
        <v>50</v>
      </c>
      <c r="Q27" s="631" t="s">
        <v>1039</v>
      </c>
      <c r="R27" s="719"/>
    </row>
    <row r="28" spans="1:18" s="718" customFormat="1" ht="24.75" customHeight="1">
      <c r="A28" s="701">
        <v>2.2000000000000002</v>
      </c>
      <c r="B28" s="708" t="s">
        <v>1004</v>
      </c>
      <c r="C28" s="701" t="s">
        <v>1018</v>
      </c>
      <c r="D28" s="713">
        <f t="shared" si="3"/>
        <v>3</v>
      </c>
      <c r="E28" s="716"/>
      <c r="F28" s="716"/>
      <c r="G28" s="716"/>
      <c r="H28" s="716"/>
      <c r="I28" s="716"/>
      <c r="J28" s="716"/>
      <c r="K28" s="716"/>
      <c r="L28" s="716">
        <v>0.6</v>
      </c>
      <c r="M28" s="716">
        <v>0.6</v>
      </c>
      <c r="N28" s="716">
        <v>0.6</v>
      </c>
      <c r="O28" s="716">
        <v>0.6</v>
      </c>
      <c r="P28" s="716">
        <v>0.6</v>
      </c>
      <c r="Q28" s="631" t="s">
        <v>1039</v>
      </c>
      <c r="R28" s="719"/>
    </row>
    <row r="29" spans="1:18" s="718" customFormat="1" ht="24.75" customHeight="1">
      <c r="A29" s="701">
        <v>2.2999999999999998</v>
      </c>
      <c r="B29" s="708" t="s">
        <v>1005</v>
      </c>
      <c r="C29" s="701" t="s">
        <v>1018</v>
      </c>
      <c r="D29" s="713">
        <f t="shared" si="3"/>
        <v>2</v>
      </c>
      <c r="E29" s="716"/>
      <c r="F29" s="716"/>
      <c r="G29" s="716"/>
      <c r="H29" s="716"/>
      <c r="I29" s="716"/>
      <c r="J29" s="716"/>
      <c r="K29" s="716"/>
      <c r="L29" s="716">
        <v>0.4</v>
      </c>
      <c r="M29" s="716">
        <v>0.4</v>
      </c>
      <c r="N29" s="716">
        <v>0.4</v>
      </c>
      <c r="O29" s="716">
        <v>0.4</v>
      </c>
      <c r="P29" s="716">
        <v>0.4</v>
      </c>
      <c r="Q29" s="631" t="s">
        <v>1039</v>
      </c>
      <c r="R29" s="719"/>
    </row>
    <row r="30" spans="1:18" s="718" customFormat="1" ht="24.75" customHeight="1">
      <c r="A30" s="701">
        <v>2.4</v>
      </c>
      <c r="B30" s="708" t="s">
        <v>1007</v>
      </c>
      <c r="C30" s="701" t="s">
        <v>1018</v>
      </c>
      <c r="D30" s="713">
        <f t="shared" si="3"/>
        <v>120</v>
      </c>
      <c r="E30" s="716"/>
      <c r="F30" s="716"/>
      <c r="G30" s="716"/>
      <c r="H30" s="716"/>
      <c r="I30" s="716"/>
      <c r="J30" s="716"/>
      <c r="K30" s="716"/>
      <c r="L30" s="716"/>
      <c r="M30" s="716">
        <v>30</v>
      </c>
      <c r="N30" s="716">
        <v>30</v>
      </c>
      <c r="O30" s="716">
        <v>30</v>
      </c>
      <c r="P30" s="716">
        <v>30</v>
      </c>
      <c r="Q30" s="631" t="s">
        <v>1039</v>
      </c>
      <c r="R30" s="719"/>
    </row>
    <row r="31" spans="1:18" s="718" customFormat="1" ht="24.75" customHeight="1">
      <c r="A31" s="701">
        <v>2.5</v>
      </c>
      <c r="B31" s="708" t="s">
        <v>1008</v>
      </c>
      <c r="C31" s="701" t="s">
        <v>1018</v>
      </c>
      <c r="D31" s="713">
        <f t="shared" si="3"/>
        <v>50</v>
      </c>
      <c r="E31" s="716">
        <v>8</v>
      </c>
      <c r="F31" s="716">
        <v>2.4</v>
      </c>
      <c r="G31" s="716">
        <v>3.6</v>
      </c>
      <c r="H31" s="716">
        <v>3.4</v>
      </c>
      <c r="I31" s="716">
        <v>1.6</v>
      </c>
      <c r="J31" s="716">
        <v>3.6</v>
      </c>
      <c r="K31" s="716">
        <v>3.2</v>
      </c>
      <c r="L31" s="716">
        <v>3.2</v>
      </c>
      <c r="M31" s="716">
        <v>5.4</v>
      </c>
      <c r="N31" s="716">
        <v>5.4</v>
      </c>
      <c r="O31" s="716">
        <v>5</v>
      </c>
      <c r="P31" s="716">
        <v>5.2</v>
      </c>
      <c r="Q31" s="631" t="s">
        <v>1039</v>
      </c>
      <c r="R31" s="719"/>
    </row>
    <row r="32" spans="1:18" s="718" customFormat="1" ht="24.75" customHeight="1">
      <c r="A32" s="701">
        <v>2.6</v>
      </c>
      <c r="B32" s="708" t="s">
        <v>1009</v>
      </c>
      <c r="C32" s="701" t="s">
        <v>1018</v>
      </c>
      <c r="D32" s="713">
        <f t="shared" si="3"/>
        <v>50</v>
      </c>
      <c r="E32" s="716">
        <v>8</v>
      </c>
      <c r="F32" s="716">
        <v>2.4</v>
      </c>
      <c r="G32" s="716">
        <v>3.6</v>
      </c>
      <c r="H32" s="716">
        <v>3.4</v>
      </c>
      <c r="I32" s="716">
        <v>1.6</v>
      </c>
      <c r="J32" s="716">
        <v>3.6</v>
      </c>
      <c r="K32" s="716">
        <v>3.2</v>
      </c>
      <c r="L32" s="716">
        <v>3.2</v>
      </c>
      <c r="M32" s="716">
        <v>5.4</v>
      </c>
      <c r="N32" s="716">
        <v>5.4</v>
      </c>
      <c r="O32" s="716">
        <v>5</v>
      </c>
      <c r="P32" s="716">
        <v>5.2</v>
      </c>
      <c r="Q32" s="631" t="s">
        <v>1039</v>
      </c>
      <c r="R32" s="719"/>
    </row>
    <row r="33" spans="1:18" s="718" customFormat="1" ht="24.75" customHeight="1">
      <c r="A33" s="701">
        <v>2.7</v>
      </c>
      <c r="B33" s="708" t="s">
        <v>1010</v>
      </c>
      <c r="C33" s="701" t="s">
        <v>1018</v>
      </c>
      <c r="D33" s="713">
        <f t="shared" si="3"/>
        <v>20</v>
      </c>
      <c r="E33" s="716">
        <v>2</v>
      </c>
      <c r="F33" s="716">
        <v>0.8</v>
      </c>
      <c r="G33" s="716">
        <v>2</v>
      </c>
      <c r="H33" s="716">
        <v>2</v>
      </c>
      <c r="I33" s="716">
        <v>0.8</v>
      </c>
      <c r="J33" s="716">
        <v>0.8</v>
      </c>
      <c r="K33" s="716">
        <v>1.6</v>
      </c>
      <c r="L33" s="716">
        <v>2</v>
      </c>
      <c r="M33" s="716">
        <v>2</v>
      </c>
      <c r="N33" s="716">
        <v>2</v>
      </c>
      <c r="O33" s="716">
        <v>2</v>
      </c>
      <c r="P33" s="716">
        <v>2</v>
      </c>
      <c r="Q33" s="631" t="s">
        <v>1039</v>
      </c>
      <c r="R33" s="719"/>
    </row>
    <row r="34" spans="1:18" s="718" customFormat="1" ht="33" customHeight="1">
      <c r="A34" s="699">
        <v>3</v>
      </c>
      <c r="B34" s="700" t="s">
        <v>1011</v>
      </c>
      <c r="C34" s="701" t="s">
        <v>1018</v>
      </c>
      <c r="D34" s="713">
        <f>D35+D37+D39+D40</f>
        <v>422</v>
      </c>
      <c r="E34" s="714">
        <f>E35+E37+E39+E40</f>
        <v>58.8</v>
      </c>
      <c r="F34" s="714">
        <f t="shared" ref="F34:P34" si="4">F35+F37+F39+F40</f>
        <v>14.8</v>
      </c>
      <c r="G34" s="714">
        <f t="shared" si="4"/>
        <v>44.2</v>
      </c>
      <c r="H34" s="714">
        <f t="shared" si="4"/>
        <v>39</v>
      </c>
      <c r="I34" s="714">
        <f t="shared" si="4"/>
        <v>14.8</v>
      </c>
      <c r="J34" s="714">
        <f t="shared" si="4"/>
        <v>29.4</v>
      </c>
      <c r="K34" s="714">
        <f t="shared" si="4"/>
        <v>29.4</v>
      </c>
      <c r="L34" s="714">
        <f t="shared" si="4"/>
        <v>34.4</v>
      </c>
      <c r="M34" s="714">
        <f t="shared" si="4"/>
        <v>34.4</v>
      </c>
      <c r="N34" s="714">
        <f t="shared" si="4"/>
        <v>34.4</v>
      </c>
      <c r="O34" s="714">
        <f t="shared" si="4"/>
        <v>44.2</v>
      </c>
      <c r="P34" s="714">
        <f t="shared" si="4"/>
        <v>44.2</v>
      </c>
      <c r="Q34" s="631" t="s">
        <v>1039</v>
      </c>
      <c r="R34" s="719"/>
    </row>
    <row r="35" spans="1:18" s="718" customFormat="1" ht="24.75" customHeight="1">
      <c r="A35" s="773">
        <v>3.1</v>
      </c>
      <c r="B35" s="774" t="s">
        <v>1019</v>
      </c>
      <c r="C35" s="776" t="s">
        <v>1018</v>
      </c>
      <c r="D35" s="818">
        <f>E35+F35+G35+H35+I35+J35+K35+L35+M35+N35+O35+P35</f>
        <v>66.000000000000014</v>
      </c>
      <c r="E35" s="751">
        <v>9.4</v>
      </c>
      <c r="F35" s="751">
        <v>2.4</v>
      </c>
      <c r="G35" s="751">
        <v>7.1</v>
      </c>
      <c r="H35" s="751">
        <v>7</v>
      </c>
      <c r="I35" s="751">
        <v>2.4</v>
      </c>
      <c r="J35" s="751">
        <v>4.7</v>
      </c>
      <c r="K35" s="751">
        <v>4.7</v>
      </c>
      <c r="L35" s="751">
        <v>4.7</v>
      </c>
      <c r="M35" s="751">
        <v>4.7</v>
      </c>
      <c r="N35" s="751">
        <v>4.7</v>
      </c>
      <c r="O35" s="751">
        <v>7.1</v>
      </c>
      <c r="P35" s="751">
        <v>7.1</v>
      </c>
      <c r="Q35" s="631" t="s">
        <v>1078</v>
      </c>
      <c r="R35" s="719"/>
    </row>
    <row r="36" spans="1:18" s="718" customFormat="1" ht="24.75" customHeight="1">
      <c r="A36" s="773"/>
      <c r="B36" s="774"/>
      <c r="C36" s="777"/>
      <c r="D36" s="775"/>
      <c r="E36" s="752"/>
      <c r="F36" s="752"/>
      <c r="G36" s="752"/>
      <c r="H36" s="752"/>
      <c r="I36" s="752"/>
      <c r="J36" s="752"/>
      <c r="K36" s="752"/>
      <c r="L36" s="752"/>
      <c r="M36" s="752"/>
      <c r="N36" s="752"/>
      <c r="O36" s="752"/>
      <c r="P36" s="752"/>
      <c r="Q36" s="631"/>
      <c r="R36" s="719"/>
    </row>
    <row r="37" spans="1:18" s="718" customFormat="1" ht="24.75" customHeight="1">
      <c r="A37" s="773">
        <v>3.2</v>
      </c>
      <c r="B37" s="774" t="s">
        <v>1012</v>
      </c>
      <c r="C37" s="776" t="s">
        <v>1018</v>
      </c>
      <c r="D37" s="818">
        <f>E37+F37+G37+H37+I37+J37+K37+L37+M37+N37+O37+P37</f>
        <v>66.000000000000014</v>
      </c>
      <c r="E37" s="751">
        <v>9.4</v>
      </c>
      <c r="F37" s="751">
        <v>2.4</v>
      </c>
      <c r="G37" s="751">
        <v>7.1</v>
      </c>
      <c r="H37" s="751">
        <v>7</v>
      </c>
      <c r="I37" s="751">
        <v>2.4</v>
      </c>
      <c r="J37" s="751">
        <v>4.7</v>
      </c>
      <c r="K37" s="751">
        <v>4.7</v>
      </c>
      <c r="L37" s="751">
        <v>4.7</v>
      </c>
      <c r="M37" s="751">
        <v>4.7</v>
      </c>
      <c r="N37" s="751">
        <v>4.7</v>
      </c>
      <c r="O37" s="751">
        <v>7.1</v>
      </c>
      <c r="P37" s="751">
        <v>7.1</v>
      </c>
      <c r="Q37" s="753" t="s">
        <v>1078</v>
      </c>
      <c r="R37" s="719"/>
    </row>
    <row r="38" spans="1:18" s="718" customFormat="1" ht="24.75" customHeight="1">
      <c r="A38" s="773"/>
      <c r="B38" s="774"/>
      <c r="C38" s="777"/>
      <c r="D38" s="775"/>
      <c r="E38" s="752"/>
      <c r="F38" s="752"/>
      <c r="G38" s="752"/>
      <c r="H38" s="752"/>
      <c r="I38" s="752"/>
      <c r="J38" s="752"/>
      <c r="K38" s="752"/>
      <c r="L38" s="752"/>
      <c r="M38" s="752"/>
      <c r="N38" s="752"/>
      <c r="O38" s="752"/>
      <c r="P38" s="752"/>
      <c r="Q38" s="754"/>
      <c r="R38" s="719"/>
    </row>
    <row r="39" spans="1:18" s="718" customFormat="1" ht="24.75" customHeight="1">
      <c r="A39" s="701">
        <v>3.3</v>
      </c>
      <c r="B39" s="708" t="s">
        <v>1013</v>
      </c>
      <c r="C39" s="701" t="s">
        <v>1018</v>
      </c>
      <c r="D39" s="716">
        <f>E39+F39+G39+H39+I39+J39+K39+L39+M39+N39+O39+P39</f>
        <v>280</v>
      </c>
      <c r="E39" s="716">
        <v>40</v>
      </c>
      <c r="F39" s="716">
        <v>10</v>
      </c>
      <c r="G39" s="716">
        <v>30</v>
      </c>
      <c r="H39" s="716">
        <v>25</v>
      </c>
      <c r="I39" s="716">
        <v>10</v>
      </c>
      <c r="J39" s="716">
        <v>20</v>
      </c>
      <c r="K39" s="716">
        <v>20</v>
      </c>
      <c r="L39" s="716">
        <v>25</v>
      </c>
      <c r="M39" s="716">
        <v>25</v>
      </c>
      <c r="N39" s="716">
        <v>25</v>
      </c>
      <c r="O39" s="716">
        <v>25</v>
      </c>
      <c r="P39" s="716">
        <v>25</v>
      </c>
      <c r="Q39" s="631" t="s">
        <v>770</v>
      </c>
      <c r="R39" s="719"/>
    </row>
    <row r="40" spans="1:18" s="718" customFormat="1" ht="24.75" customHeight="1">
      <c r="A40" s="699">
        <v>4</v>
      </c>
      <c r="B40" s="700" t="s">
        <v>1014</v>
      </c>
      <c r="C40" s="701" t="s">
        <v>1018</v>
      </c>
      <c r="D40" s="715">
        <f>D42</f>
        <v>10</v>
      </c>
      <c r="E40" s="715"/>
      <c r="F40" s="715"/>
      <c r="G40" s="715"/>
      <c r="H40" s="715"/>
      <c r="I40" s="715"/>
      <c r="J40" s="715"/>
      <c r="K40" s="715"/>
      <c r="L40" s="715"/>
      <c r="M40" s="715"/>
      <c r="N40" s="715"/>
      <c r="O40" s="715">
        <v>5</v>
      </c>
      <c r="P40" s="715">
        <v>5</v>
      </c>
      <c r="Q40" s="631"/>
      <c r="R40" s="719"/>
    </row>
    <row r="41" spans="1:18" s="718" customFormat="1" ht="24.75" customHeight="1">
      <c r="A41" s="701">
        <v>4.0999999999999996</v>
      </c>
      <c r="B41" s="708" t="s">
        <v>1015</v>
      </c>
      <c r="C41" s="701" t="s">
        <v>1018</v>
      </c>
      <c r="D41" s="716"/>
      <c r="E41" s="717"/>
      <c r="F41" s="717"/>
      <c r="G41" s="717"/>
      <c r="H41" s="717"/>
      <c r="I41" s="717"/>
      <c r="J41" s="717"/>
      <c r="K41" s="717"/>
      <c r="L41" s="717"/>
      <c r="M41" s="717"/>
      <c r="N41" s="717"/>
      <c r="O41" s="717"/>
      <c r="P41" s="717"/>
      <c r="Q41" s="631"/>
      <c r="R41" s="719"/>
    </row>
    <row r="42" spans="1:18" s="718" customFormat="1" ht="24.75" customHeight="1">
      <c r="A42" s="701">
        <v>4.2</v>
      </c>
      <c r="B42" s="708" t="s">
        <v>1070</v>
      </c>
      <c r="C42" s="701" t="s">
        <v>1018</v>
      </c>
      <c r="D42" s="716">
        <f>O42+P42</f>
        <v>10</v>
      </c>
      <c r="E42" s="717"/>
      <c r="F42" s="717"/>
      <c r="G42" s="717"/>
      <c r="H42" s="717"/>
      <c r="I42" s="717"/>
      <c r="J42" s="717"/>
      <c r="K42" s="717"/>
      <c r="L42" s="717"/>
      <c r="M42" s="717"/>
      <c r="N42" s="717"/>
      <c r="O42" s="717">
        <v>5</v>
      </c>
      <c r="P42" s="717">
        <v>5</v>
      </c>
      <c r="Q42" s="631" t="s">
        <v>1039</v>
      </c>
      <c r="R42" s="719"/>
    </row>
    <row r="43" spans="1:18" s="718" customFormat="1" ht="18" customHeight="1">
      <c r="A43" s="717"/>
      <c r="B43" s="708"/>
      <c r="C43" s="701"/>
      <c r="D43" s="709"/>
      <c r="E43" s="717"/>
      <c r="F43" s="717"/>
      <c r="G43" s="717"/>
      <c r="H43" s="717"/>
      <c r="I43" s="717"/>
      <c r="J43" s="717"/>
      <c r="K43" s="717"/>
      <c r="L43" s="717"/>
      <c r="M43" s="717"/>
      <c r="N43" s="717"/>
      <c r="O43" s="717"/>
      <c r="P43" s="717"/>
      <c r="Q43" s="631"/>
      <c r="R43" s="719"/>
    </row>
    <row r="44" spans="1:18" s="718" customFormat="1">
      <c r="A44" s="697"/>
    </row>
  </sheetData>
  <mergeCells count="51">
    <mergeCell ref="O35:O36"/>
    <mergeCell ref="P35:P36"/>
    <mergeCell ref="J35:J36"/>
    <mergeCell ref="K35:K36"/>
    <mergeCell ref="L35:L36"/>
    <mergeCell ref="M35:M36"/>
    <mergeCell ref="N35:N36"/>
    <mergeCell ref="E35:E36"/>
    <mergeCell ref="F35:F36"/>
    <mergeCell ref="G35:G36"/>
    <mergeCell ref="H35:H36"/>
    <mergeCell ref="I35:I36"/>
    <mergeCell ref="B26:C26"/>
    <mergeCell ref="A35:A36"/>
    <mergeCell ref="B35:B36"/>
    <mergeCell ref="D35:D36"/>
    <mergeCell ref="A37:A38"/>
    <mergeCell ref="B37:B38"/>
    <mergeCell ref="D37:D38"/>
    <mergeCell ref="C35:C36"/>
    <mergeCell ref="C37:C38"/>
    <mergeCell ref="Q4:Q5"/>
    <mergeCell ref="B7:H7"/>
    <mergeCell ref="B15:I15"/>
    <mergeCell ref="A22:A23"/>
    <mergeCell ref="B22:B23"/>
    <mergeCell ref="C22:C23"/>
    <mergeCell ref="D22:D23"/>
    <mergeCell ref="E22:P22"/>
    <mergeCell ref="Q22:Q24"/>
    <mergeCell ref="B1:P1"/>
    <mergeCell ref="A2:P2"/>
    <mergeCell ref="O3:P3"/>
    <mergeCell ref="A4:A5"/>
    <mergeCell ref="B4:B5"/>
    <mergeCell ref="C4:C5"/>
    <mergeCell ref="D4:D5"/>
    <mergeCell ref="E4:P4"/>
    <mergeCell ref="E37:E38"/>
    <mergeCell ref="F37:F38"/>
    <mergeCell ref="G37:G38"/>
    <mergeCell ref="H37:H38"/>
    <mergeCell ref="I37:I38"/>
    <mergeCell ref="O37:O38"/>
    <mergeCell ref="P37:P38"/>
    <mergeCell ref="Q37:Q38"/>
    <mergeCell ref="J37:J38"/>
    <mergeCell ref="K37:K38"/>
    <mergeCell ref="L37:L38"/>
    <mergeCell ref="M37:M38"/>
    <mergeCell ref="N37:N38"/>
  </mergeCells>
  <pageMargins left="0.2" right="0.2" top="0.22" bottom="0.23" header="0.19" footer="0.19"/>
  <pageSetup paperSize="9" scale="90" orientation="landscape" r:id="rId1"/>
  <headerFooter>
    <oddFooter>&amp;L&amp;P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Z113"/>
  <sheetViews>
    <sheetView topLeftCell="A10" zoomScale="70" workbookViewId="0">
      <selection activeCell="J98" sqref="J98:P100"/>
    </sheetView>
  </sheetViews>
  <sheetFormatPr defaultRowHeight="12.75"/>
  <cols>
    <col min="1" max="1" width="2.5" style="548" customWidth="1"/>
    <col min="2" max="2" width="11.875" style="548" bestFit="1" customWidth="1"/>
    <col min="3" max="3" width="4.75" style="548" customWidth="1"/>
    <col min="4" max="5" width="11" style="548" hidden="1" customWidth="1"/>
    <col min="6" max="6" width="10.5" style="548" hidden="1" customWidth="1"/>
    <col min="7" max="7" width="11.5" style="548" hidden="1" customWidth="1"/>
    <col min="8" max="8" width="11" style="548" hidden="1" customWidth="1"/>
    <col min="9" max="9" width="10.875" style="548" hidden="1" customWidth="1"/>
    <col min="10" max="10" width="11.25" style="548" bestFit="1" customWidth="1"/>
    <col min="11" max="11" width="11" style="548" bestFit="1" customWidth="1"/>
    <col min="12" max="13" width="11.375" style="548" bestFit="1" customWidth="1"/>
    <col min="14" max="14" width="11" style="548" bestFit="1" customWidth="1"/>
    <col min="15" max="18" width="11.25" style="548" bestFit="1" customWidth="1"/>
    <col min="19" max="19" width="10.625" style="548" bestFit="1" customWidth="1"/>
    <col min="20" max="20" width="11.875" style="548" bestFit="1" customWidth="1"/>
    <col min="21" max="21" width="12.25" style="548" bestFit="1" customWidth="1"/>
    <col min="22" max="22" width="13.875" style="548" customWidth="1"/>
    <col min="23" max="23" width="13.875" style="548" bestFit="1" customWidth="1"/>
    <col min="24" max="26" width="10.625" style="548" customWidth="1"/>
    <col min="27" max="16384" width="9" style="548"/>
  </cols>
  <sheetData>
    <row r="1" spans="1:26" s="105" customFormat="1" ht="28.5" customHeight="1">
      <c r="A1" s="781" t="s">
        <v>1</v>
      </c>
      <c r="B1" s="781" t="s">
        <v>2</v>
      </c>
      <c r="C1" s="781" t="s">
        <v>76</v>
      </c>
      <c r="D1" s="782" t="s">
        <v>175</v>
      </c>
      <c r="E1" s="782"/>
      <c r="F1" s="782"/>
      <c r="G1" s="782"/>
      <c r="H1" s="782"/>
      <c r="I1" s="782"/>
      <c r="J1" s="778" t="s">
        <v>176</v>
      </c>
      <c r="K1" s="779"/>
      <c r="L1" s="779"/>
      <c r="M1" s="779"/>
      <c r="N1" s="779"/>
      <c r="O1" s="779"/>
      <c r="P1" s="779"/>
      <c r="Q1" s="779"/>
      <c r="R1" s="779"/>
      <c r="S1" s="779"/>
      <c r="T1" s="780"/>
    </row>
    <row r="2" spans="1:26" s="105" customFormat="1" ht="28.5" customHeight="1">
      <c r="A2" s="781"/>
      <c r="B2" s="781"/>
      <c r="C2" s="781"/>
      <c r="D2" s="107" t="s">
        <v>64</v>
      </c>
      <c r="E2" s="107" t="s">
        <v>65</v>
      </c>
      <c r="F2" s="107" t="s">
        <v>66</v>
      </c>
      <c r="G2" s="107" t="s">
        <v>67</v>
      </c>
      <c r="H2" s="107" t="s">
        <v>68</v>
      </c>
      <c r="I2" s="107" t="s">
        <v>69</v>
      </c>
      <c r="J2" s="107" t="s">
        <v>77</v>
      </c>
      <c r="K2" s="107" t="s">
        <v>78</v>
      </c>
      <c r="L2" s="107" t="s">
        <v>79</v>
      </c>
      <c r="M2" s="107" t="s">
        <v>80</v>
      </c>
      <c r="N2" s="107" t="s">
        <v>81</v>
      </c>
      <c r="O2" s="107" t="s">
        <v>82</v>
      </c>
      <c r="P2" s="107" t="s">
        <v>83</v>
      </c>
      <c r="Q2" s="107" t="s">
        <v>84</v>
      </c>
      <c r="R2" s="107" t="s">
        <v>85</v>
      </c>
      <c r="S2" s="107" t="s">
        <v>86</v>
      </c>
      <c r="T2" s="107" t="s">
        <v>87</v>
      </c>
    </row>
    <row r="3" spans="1:26" s="158" customFormat="1" ht="21" customHeight="1">
      <c r="A3" s="104">
        <v>1</v>
      </c>
      <c r="B3" s="281" t="s">
        <v>954</v>
      </c>
      <c r="C3" s="121" t="s">
        <v>90</v>
      </c>
      <c r="D3" s="125">
        <v>210391</v>
      </c>
      <c r="E3" s="125">
        <v>283259</v>
      </c>
      <c r="F3" s="125">
        <v>359841</v>
      </c>
      <c r="G3" s="125">
        <v>464771</v>
      </c>
      <c r="H3" s="125">
        <v>402388</v>
      </c>
      <c r="I3" s="125">
        <v>478525</v>
      </c>
      <c r="J3" s="125">
        <v>519767</v>
      </c>
      <c r="K3" s="125">
        <v>557728</v>
      </c>
      <c r="L3" s="125">
        <v>598636</v>
      </c>
      <c r="M3" s="125">
        <v>669603</v>
      </c>
      <c r="N3" s="125">
        <v>717843</v>
      </c>
      <c r="O3" s="125">
        <v>734420</v>
      </c>
      <c r="P3" s="125">
        <v>780334</v>
      </c>
      <c r="Q3" s="125">
        <v>795605</v>
      </c>
      <c r="R3" s="125">
        <v>808133</v>
      </c>
      <c r="S3" s="125">
        <v>865668</v>
      </c>
      <c r="T3" s="125">
        <v>993217</v>
      </c>
    </row>
    <row r="4" spans="1:26" s="158" customFormat="1" ht="21" customHeight="1">
      <c r="A4" s="104" t="s">
        <v>59</v>
      </c>
      <c r="B4" s="543" t="s">
        <v>955</v>
      </c>
      <c r="C4" s="146" t="s">
        <v>90</v>
      </c>
      <c r="D4" s="125">
        <v>49825.4</v>
      </c>
      <c r="E4" s="125">
        <v>58465.2</v>
      </c>
      <c r="F4" s="125">
        <v>65086.25</v>
      </c>
      <c r="G4" s="125">
        <v>55589.3</v>
      </c>
      <c r="H4" s="125">
        <v>36783.145000000004</v>
      </c>
      <c r="I4" s="125">
        <v>49403</v>
      </c>
      <c r="J4" s="282">
        <v>168150</v>
      </c>
      <c r="K4" s="282">
        <v>155400</v>
      </c>
      <c r="L4" s="125">
        <v>54400</v>
      </c>
      <c r="M4" s="125">
        <v>54500</v>
      </c>
      <c r="N4" s="125">
        <v>56250</v>
      </c>
      <c r="O4" s="125">
        <v>97750</v>
      </c>
      <c r="P4" s="125">
        <v>98750</v>
      </c>
      <c r="Q4" s="125">
        <v>102250</v>
      </c>
      <c r="R4" s="125">
        <v>103250</v>
      </c>
      <c r="S4" s="125">
        <v>108750</v>
      </c>
      <c r="T4" s="125">
        <v>192500</v>
      </c>
    </row>
    <row r="5" spans="1:26" s="122" customFormat="1" ht="21" customHeight="1">
      <c r="A5" s="113">
        <v>2</v>
      </c>
      <c r="B5" s="542" t="s">
        <v>948</v>
      </c>
      <c r="C5" s="121" t="s">
        <v>90</v>
      </c>
      <c r="D5" s="125">
        <v>415532</v>
      </c>
      <c r="E5" s="125">
        <v>563411</v>
      </c>
      <c r="F5" s="125">
        <v>641152</v>
      </c>
      <c r="G5" s="125">
        <v>793101</v>
      </c>
      <c r="H5" s="125">
        <v>622397</v>
      </c>
      <c r="I5" s="125">
        <v>725405</v>
      </c>
      <c r="J5" s="125">
        <v>737519</v>
      </c>
      <c r="K5" s="125">
        <v>745489</v>
      </c>
      <c r="L5" s="125">
        <v>754097</v>
      </c>
      <c r="M5" s="125">
        <v>764638</v>
      </c>
      <c r="N5" s="125">
        <v>771062</v>
      </c>
      <c r="O5" s="125">
        <v>817201</v>
      </c>
      <c r="P5" s="125">
        <v>822491</v>
      </c>
      <c r="Q5" s="125">
        <v>826558</v>
      </c>
      <c r="R5" s="125">
        <v>831515</v>
      </c>
      <c r="S5" s="125">
        <v>835642</v>
      </c>
      <c r="T5" s="125">
        <v>912068</v>
      </c>
    </row>
    <row r="6" spans="1:26" s="122" customFormat="1" ht="21" customHeight="1">
      <c r="A6" s="113"/>
      <c r="B6" s="543" t="s">
        <v>955</v>
      </c>
      <c r="C6" s="146" t="s">
        <v>90</v>
      </c>
      <c r="D6" s="125">
        <v>40905</v>
      </c>
      <c r="E6" s="125">
        <v>51328</v>
      </c>
      <c r="F6" s="125">
        <v>49602</v>
      </c>
      <c r="G6" s="125">
        <v>24081</v>
      </c>
      <c r="H6" s="125">
        <v>28062</v>
      </c>
      <c r="I6" s="125">
        <v>35407</v>
      </c>
      <c r="J6" s="125">
        <v>35500</v>
      </c>
      <c r="K6" s="125">
        <v>36000</v>
      </c>
      <c r="L6" s="125">
        <v>40000</v>
      </c>
      <c r="M6" s="125">
        <v>41250</v>
      </c>
      <c r="N6" s="125">
        <v>43750</v>
      </c>
      <c r="O6" s="125">
        <v>46250</v>
      </c>
      <c r="P6" s="125">
        <v>47750</v>
      </c>
      <c r="Q6" s="125">
        <v>50250</v>
      </c>
      <c r="R6" s="125">
        <v>51750</v>
      </c>
      <c r="S6" s="125">
        <v>55750</v>
      </c>
      <c r="T6" s="125">
        <v>172500</v>
      </c>
    </row>
    <row r="7" spans="1:26" s="186" customFormat="1" ht="21" customHeight="1">
      <c r="A7" s="174">
        <v>3</v>
      </c>
      <c r="B7" s="541" t="s">
        <v>949</v>
      </c>
      <c r="C7" s="121" t="s">
        <v>90</v>
      </c>
      <c r="D7" s="125">
        <v>240812</v>
      </c>
      <c r="E7" s="125">
        <v>346738</v>
      </c>
      <c r="F7" s="125">
        <v>370419</v>
      </c>
      <c r="G7" s="125">
        <v>489494</v>
      </c>
      <c r="H7" s="125">
        <v>393129</v>
      </c>
      <c r="I7" s="125">
        <v>460241</v>
      </c>
      <c r="J7" s="125">
        <v>478351</v>
      </c>
      <c r="K7" s="125">
        <v>536275</v>
      </c>
      <c r="L7" s="125">
        <v>541620</v>
      </c>
      <c r="M7" s="125">
        <v>543841</v>
      </c>
      <c r="N7" s="125">
        <v>554121</v>
      </c>
      <c r="O7" s="125">
        <v>556116</v>
      </c>
      <c r="P7" s="125">
        <v>557292</v>
      </c>
      <c r="Q7" s="125">
        <v>557974</v>
      </c>
      <c r="R7" s="125">
        <v>558604</v>
      </c>
      <c r="S7" s="125">
        <v>559398</v>
      </c>
      <c r="T7" s="125">
        <v>594571</v>
      </c>
    </row>
    <row r="8" spans="1:26" s="186" customFormat="1" ht="21" customHeight="1">
      <c r="A8" s="174"/>
      <c r="B8" s="543" t="s">
        <v>955</v>
      </c>
      <c r="C8" s="146" t="s">
        <v>90</v>
      </c>
      <c r="D8" s="125">
        <v>40749</v>
      </c>
      <c r="E8" s="125">
        <v>44431</v>
      </c>
      <c r="F8" s="125">
        <v>51412</v>
      </c>
      <c r="G8" s="125">
        <v>47680</v>
      </c>
      <c r="H8" s="201">
        <v>47150</v>
      </c>
      <c r="I8" s="201">
        <v>31100</v>
      </c>
      <c r="J8" s="201">
        <v>31300</v>
      </c>
      <c r="K8" s="201">
        <v>31500</v>
      </c>
      <c r="L8" s="201">
        <v>33500</v>
      </c>
      <c r="M8" s="201">
        <v>34000</v>
      </c>
      <c r="N8" s="201">
        <v>35500</v>
      </c>
      <c r="O8" s="201">
        <v>36500</v>
      </c>
      <c r="P8" s="201">
        <v>36500</v>
      </c>
      <c r="Q8" s="201">
        <v>38500</v>
      </c>
      <c r="R8" s="201">
        <v>38500</v>
      </c>
      <c r="S8" s="201">
        <v>47000</v>
      </c>
      <c r="T8" s="201">
        <v>194600</v>
      </c>
    </row>
    <row r="9" spans="1:26" s="239" customFormat="1" ht="21" customHeight="1">
      <c r="A9" s="233">
        <v>4</v>
      </c>
      <c r="B9" s="540" t="s">
        <v>309</v>
      </c>
      <c r="C9" s="199" t="s">
        <v>90</v>
      </c>
      <c r="D9" s="125">
        <v>99249</v>
      </c>
      <c r="E9" s="125">
        <v>126855</v>
      </c>
      <c r="F9" s="125">
        <v>203826</v>
      </c>
      <c r="G9" s="125">
        <v>222994</v>
      </c>
      <c r="H9" s="125">
        <v>252847</v>
      </c>
      <c r="I9" s="125">
        <v>270000</v>
      </c>
      <c r="J9" s="125">
        <v>275471</v>
      </c>
      <c r="K9" s="125">
        <v>310618</v>
      </c>
      <c r="L9" s="125">
        <v>331516</v>
      </c>
      <c r="M9" s="125">
        <v>331591</v>
      </c>
      <c r="N9" s="125">
        <v>388629</v>
      </c>
      <c r="O9" s="125">
        <v>399859</v>
      </c>
      <c r="P9" s="125">
        <v>408115</v>
      </c>
      <c r="Q9" s="125">
        <v>416416</v>
      </c>
      <c r="R9" s="125">
        <v>424777</v>
      </c>
      <c r="S9" s="125">
        <v>435844</v>
      </c>
      <c r="T9" s="125">
        <v>483487</v>
      </c>
    </row>
    <row r="10" spans="1:26" s="239" customFormat="1" ht="21" customHeight="1">
      <c r="A10" s="233"/>
      <c r="B10" s="543" t="s">
        <v>955</v>
      </c>
      <c r="C10" s="200" t="s">
        <v>90</v>
      </c>
      <c r="D10" s="198">
        <v>35500</v>
      </c>
      <c r="E10" s="198">
        <v>37300</v>
      </c>
      <c r="F10" s="198">
        <v>41450</v>
      </c>
      <c r="G10" s="198">
        <v>42300</v>
      </c>
      <c r="H10" s="198">
        <v>42800</v>
      </c>
      <c r="I10" s="198">
        <v>19800</v>
      </c>
      <c r="J10" s="198">
        <v>39600</v>
      </c>
      <c r="K10" s="198">
        <v>44300</v>
      </c>
      <c r="L10" s="198">
        <v>50300</v>
      </c>
      <c r="M10" s="198">
        <v>51800</v>
      </c>
      <c r="N10" s="198">
        <v>49625</v>
      </c>
      <c r="O10" s="198">
        <v>44550</v>
      </c>
      <c r="P10" s="198">
        <v>43800</v>
      </c>
      <c r="Q10" s="198">
        <v>46300</v>
      </c>
      <c r="R10" s="198">
        <v>44800</v>
      </c>
      <c r="S10" s="198">
        <v>46475</v>
      </c>
      <c r="T10" s="198">
        <v>148471.42857142861</v>
      </c>
    </row>
    <row r="11" spans="1:26" s="294" customFormat="1" ht="21" customHeight="1">
      <c r="A11" s="297">
        <v>5</v>
      </c>
      <c r="B11" s="550" t="s">
        <v>950</v>
      </c>
      <c r="C11" s="551" t="s">
        <v>90</v>
      </c>
      <c r="D11" s="94">
        <v>6030</v>
      </c>
      <c r="E11" s="94">
        <v>10979.75</v>
      </c>
      <c r="F11" s="94">
        <v>13473</v>
      </c>
      <c r="G11" s="94">
        <v>13555</v>
      </c>
      <c r="H11" s="94">
        <v>13483</v>
      </c>
      <c r="I11" s="94">
        <v>17007</v>
      </c>
      <c r="J11" s="94">
        <v>18130</v>
      </c>
      <c r="K11" s="94">
        <v>18430</v>
      </c>
      <c r="L11" s="94">
        <v>18780</v>
      </c>
      <c r="M11" s="94">
        <v>19050</v>
      </c>
      <c r="N11" s="94">
        <v>19120</v>
      </c>
      <c r="O11" s="94">
        <v>19500</v>
      </c>
      <c r="P11" s="94">
        <v>19870</v>
      </c>
      <c r="Q11" s="94">
        <v>19920</v>
      </c>
      <c r="R11" s="94">
        <v>20720</v>
      </c>
      <c r="S11" s="94">
        <v>21100</v>
      </c>
      <c r="T11" s="94">
        <v>22450</v>
      </c>
      <c r="U11" s="295"/>
    </row>
    <row r="12" spans="1:26" s="294" customFormat="1" ht="21" customHeight="1">
      <c r="A12" s="297"/>
      <c r="B12" s="543" t="s">
        <v>955</v>
      </c>
      <c r="C12" s="298" t="s">
        <v>90</v>
      </c>
      <c r="D12" s="94">
        <v>19046</v>
      </c>
      <c r="E12" s="94">
        <v>2291</v>
      </c>
      <c r="F12" s="94">
        <v>779</v>
      </c>
      <c r="G12" s="94">
        <v>0</v>
      </c>
      <c r="H12" s="94">
        <v>0</v>
      </c>
      <c r="I12" s="94">
        <v>0</v>
      </c>
      <c r="J12" s="94">
        <v>3500</v>
      </c>
      <c r="K12" s="94">
        <v>9250</v>
      </c>
      <c r="L12" s="94">
        <v>2850</v>
      </c>
      <c r="M12" s="94">
        <v>2800</v>
      </c>
      <c r="N12" s="94">
        <v>17700</v>
      </c>
      <c r="O12" s="94">
        <v>10400</v>
      </c>
      <c r="P12" s="94">
        <v>9100</v>
      </c>
      <c r="Q12" s="94">
        <v>7900</v>
      </c>
      <c r="R12" s="94">
        <v>9100</v>
      </c>
      <c r="S12" s="94">
        <v>9100</v>
      </c>
      <c r="T12" s="94">
        <v>47200</v>
      </c>
    </row>
    <row r="13" spans="1:26" s="303" customFormat="1" ht="21" customHeight="1">
      <c r="A13" s="544">
        <v>6</v>
      </c>
      <c r="B13" s="545" t="s">
        <v>951</v>
      </c>
      <c r="C13" s="546" t="s">
        <v>116</v>
      </c>
      <c r="D13" s="547">
        <v>45965</v>
      </c>
      <c r="E13" s="547">
        <v>53180</v>
      </c>
      <c r="F13" s="547">
        <v>70844</v>
      </c>
      <c r="G13" s="547">
        <v>67168</v>
      </c>
      <c r="H13" s="547">
        <v>86583</v>
      </c>
      <c r="I13" s="547">
        <v>81315.399999999994</v>
      </c>
      <c r="J13" s="547">
        <v>60877</v>
      </c>
      <c r="K13" s="547">
        <v>72515</v>
      </c>
      <c r="L13" s="547">
        <v>83642</v>
      </c>
      <c r="M13" s="547">
        <v>94321</v>
      </c>
      <c r="N13" s="547">
        <v>102442.5</v>
      </c>
      <c r="O13" s="547">
        <v>114086.15</v>
      </c>
      <c r="P13" s="547">
        <v>128554.07250000001</v>
      </c>
      <c r="Q13" s="547">
        <v>145170.68337499999</v>
      </c>
      <c r="R13" s="547">
        <v>164332.98588125</v>
      </c>
      <c r="S13" s="547">
        <v>186420.73376343749</v>
      </c>
      <c r="T13" s="547">
        <v>327708.88051612501</v>
      </c>
      <c r="U13" s="404"/>
      <c r="V13" s="404"/>
      <c r="W13" s="605">
        <f>SUM(U16:W17)</f>
        <v>45498921.956671737</v>
      </c>
      <c r="X13" s="404"/>
    </row>
    <row r="14" spans="1:26" s="303" customFormat="1" ht="21" customHeight="1">
      <c r="A14" s="552"/>
      <c r="B14" s="543" t="s">
        <v>955</v>
      </c>
      <c r="C14" s="546" t="s">
        <v>116</v>
      </c>
      <c r="D14" s="547">
        <v>3650</v>
      </c>
      <c r="E14" s="547">
        <v>14366</v>
      </c>
      <c r="F14" s="547">
        <v>17632</v>
      </c>
      <c r="G14" s="547">
        <v>8200</v>
      </c>
      <c r="H14" s="547">
        <v>7203</v>
      </c>
      <c r="I14" s="547">
        <v>5380</v>
      </c>
      <c r="J14" s="547">
        <v>2800</v>
      </c>
      <c r="K14" s="547">
        <v>35500</v>
      </c>
      <c r="L14" s="547">
        <v>22000</v>
      </c>
      <c r="M14" s="547">
        <v>7000</v>
      </c>
      <c r="N14" s="547">
        <v>13000</v>
      </c>
      <c r="O14" s="547">
        <v>39200</v>
      </c>
      <c r="P14" s="547">
        <v>10640</v>
      </c>
      <c r="Q14" s="547">
        <v>30368</v>
      </c>
      <c r="R14" s="547">
        <v>12442</v>
      </c>
      <c r="S14" s="547">
        <v>29930</v>
      </c>
      <c r="T14" s="547">
        <v>52152</v>
      </c>
      <c r="U14" s="603" t="s">
        <v>719</v>
      </c>
      <c r="V14" s="603" t="s">
        <v>722</v>
      </c>
      <c r="W14" s="603" t="s">
        <v>965</v>
      </c>
      <c r="X14" s="603" t="s">
        <v>719</v>
      </c>
      <c r="Y14" s="603" t="s">
        <v>722</v>
      </c>
      <c r="Z14" s="603">
        <v>2030</v>
      </c>
    </row>
    <row r="15" spans="1:26" ht="21" hidden="1" customHeight="1">
      <c r="A15" s="553"/>
      <c r="B15" s="553"/>
      <c r="C15" s="546"/>
      <c r="D15" s="547"/>
      <c r="E15" s="547"/>
      <c r="F15" s="547"/>
      <c r="G15" s="547"/>
      <c r="H15" s="547"/>
      <c r="I15" s="547"/>
      <c r="J15" s="547"/>
      <c r="K15" s="547"/>
      <c r="L15" s="547"/>
      <c r="M15" s="547"/>
      <c r="N15" s="547"/>
      <c r="O15" s="547"/>
      <c r="P15" s="547"/>
      <c r="Q15" s="547"/>
      <c r="R15" s="547"/>
      <c r="S15" s="547"/>
      <c r="T15" s="547"/>
    </row>
    <row r="16" spans="1:26" ht="21" customHeight="1">
      <c r="A16" s="553"/>
      <c r="B16" s="154" t="s">
        <v>956</v>
      </c>
      <c r="C16" s="553"/>
      <c r="D16" s="549">
        <f>D3+D5+D7+D9+D11+D13</f>
        <v>1017979</v>
      </c>
      <c r="E16" s="549">
        <f t="shared" ref="E16:S16" si="0">E3+E5+E7+E9+E11+E13</f>
        <v>1384422.75</v>
      </c>
      <c r="F16" s="549">
        <f t="shared" si="0"/>
        <v>1659555</v>
      </c>
      <c r="G16" s="549">
        <f t="shared" si="0"/>
        <v>2051083</v>
      </c>
      <c r="H16" s="549">
        <f t="shared" si="0"/>
        <v>1770827</v>
      </c>
      <c r="I16" s="549">
        <f t="shared" si="0"/>
        <v>2032493.4</v>
      </c>
      <c r="J16" s="549">
        <f t="shared" si="0"/>
        <v>2090115</v>
      </c>
      <c r="K16" s="549">
        <f t="shared" si="0"/>
        <v>2241055</v>
      </c>
      <c r="L16" s="549">
        <f t="shared" si="0"/>
        <v>2328291</v>
      </c>
      <c r="M16" s="549">
        <f t="shared" si="0"/>
        <v>2423044</v>
      </c>
      <c r="N16" s="549">
        <f t="shared" si="0"/>
        <v>2553217.5</v>
      </c>
      <c r="O16" s="549">
        <f t="shared" si="0"/>
        <v>2641182.15</v>
      </c>
      <c r="P16" s="549">
        <f t="shared" si="0"/>
        <v>2716656.0724999998</v>
      </c>
      <c r="Q16" s="549">
        <f t="shared" si="0"/>
        <v>2761643.683375</v>
      </c>
      <c r="R16" s="549">
        <f t="shared" si="0"/>
        <v>2808081.9858812499</v>
      </c>
      <c r="S16" s="549">
        <f t="shared" si="0"/>
        <v>2904072.7337634377</v>
      </c>
      <c r="T16" s="549">
        <f>(T3+T5+T7+T9+T11+T13)*5</f>
        <v>16667509.402580624</v>
      </c>
      <c r="U16" s="601">
        <f>J16+K16+L16+M16+N16</f>
        <v>11635722.5</v>
      </c>
      <c r="V16" s="601">
        <f>O16+P16+Q16+R16+S16</f>
        <v>13831636.625519687</v>
      </c>
      <c r="W16" s="601">
        <f>T16</f>
        <v>16667509.402580624</v>
      </c>
      <c r="X16" s="604">
        <f t="shared" ref="X16:Z18" si="1">U16/5</f>
        <v>2327144.5</v>
      </c>
      <c r="Y16" s="604">
        <f t="shared" si="1"/>
        <v>2766327.3251039376</v>
      </c>
      <c r="Z16" s="604">
        <f t="shared" si="1"/>
        <v>3333501.8805161249</v>
      </c>
    </row>
    <row r="17" spans="1:26" ht="21" customHeight="1">
      <c r="A17" s="553"/>
      <c r="B17" s="154" t="s">
        <v>957</v>
      </c>
      <c r="C17" s="553"/>
      <c r="D17" s="549">
        <f>D4+D6+D8+D10+D12+D14+D15</f>
        <v>189675.4</v>
      </c>
      <c r="E17" s="549">
        <f t="shared" ref="E17:T17" si="2">E4+E6+E8+E10+E12+E14+E15</f>
        <v>208181.2</v>
      </c>
      <c r="F17" s="549">
        <f t="shared" si="2"/>
        <v>225961.25</v>
      </c>
      <c r="G17" s="549">
        <f t="shared" si="2"/>
        <v>177850.3</v>
      </c>
      <c r="H17" s="549">
        <f t="shared" si="2"/>
        <v>161998.14500000002</v>
      </c>
      <c r="I17" s="549">
        <f t="shared" si="2"/>
        <v>141090</v>
      </c>
      <c r="J17" s="549">
        <f t="shared" si="2"/>
        <v>280850</v>
      </c>
      <c r="K17" s="549">
        <f t="shared" si="2"/>
        <v>311950</v>
      </c>
      <c r="L17" s="549">
        <f t="shared" si="2"/>
        <v>203050</v>
      </c>
      <c r="M17" s="549">
        <f t="shared" si="2"/>
        <v>191350</v>
      </c>
      <c r="N17" s="549">
        <f t="shared" si="2"/>
        <v>215825</v>
      </c>
      <c r="O17" s="549">
        <f t="shared" si="2"/>
        <v>274650</v>
      </c>
      <c r="P17" s="549">
        <f t="shared" si="2"/>
        <v>246540</v>
      </c>
      <c r="Q17" s="549">
        <f t="shared" si="2"/>
        <v>275568</v>
      </c>
      <c r="R17" s="549">
        <f t="shared" si="2"/>
        <v>259842</v>
      </c>
      <c r="S17" s="549">
        <f t="shared" si="2"/>
        <v>297005</v>
      </c>
      <c r="T17" s="549">
        <f t="shared" si="2"/>
        <v>807423.42857142864</v>
      </c>
      <c r="U17" s="601">
        <f>J17+K17+L17+M17+N17</f>
        <v>1203025</v>
      </c>
      <c r="V17" s="601">
        <f>O17+P17+Q17+R17+S17</f>
        <v>1353605</v>
      </c>
      <c r="W17" s="601">
        <f>T17</f>
        <v>807423.42857142864</v>
      </c>
      <c r="X17" s="604">
        <f t="shared" si="1"/>
        <v>240605</v>
      </c>
      <c r="Y17" s="604">
        <f t="shared" si="1"/>
        <v>270721</v>
      </c>
      <c r="Z17" s="604">
        <f t="shared" si="1"/>
        <v>161484.68571428573</v>
      </c>
    </row>
    <row r="18" spans="1:26" s="557" customFormat="1" ht="21" customHeight="1">
      <c r="A18" s="555"/>
      <c r="B18" s="555" t="s">
        <v>958</v>
      </c>
      <c r="C18" s="555"/>
      <c r="D18" s="556">
        <f>D17+D16</f>
        <v>1207654.3999999999</v>
      </c>
      <c r="E18" s="558">
        <f t="shared" ref="E18:T18" si="3">E17+E16</f>
        <v>1592603.95</v>
      </c>
      <c r="F18" s="558">
        <f t="shared" si="3"/>
        <v>1885516.25</v>
      </c>
      <c r="G18" s="558">
        <f t="shared" si="3"/>
        <v>2228933.2999999998</v>
      </c>
      <c r="H18" s="558">
        <f t="shared" si="3"/>
        <v>1932825.145</v>
      </c>
      <c r="I18" s="558">
        <f t="shared" si="3"/>
        <v>2173583.4</v>
      </c>
      <c r="J18" s="558">
        <f>J17+J16</f>
        <v>2370965</v>
      </c>
      <c r="K18" s="558">
        <f t="shared" si="3"/>
        <v>2553005</v>
      </c>
      <c r="L18" s="558">
        <f t="shared" si="3"/>
        <v>2531341</v>
      </c>
      <c r="M18" s="558">
        <f t="shared" si="3"/>
        <v>2614394</v>
      </c>
      <c r="N18" s="558">
        <f t="shared" si="3"/>
        <v>2769042.5</v>
      </c>
      <c r="O18" s="558">
        <f t="shared" si="3"/>
        <v>2915832.15</v>
      </c>
      <c r="P18" s="558">
        <f t="shared" si="3"/>
        <v>2963196.0724999998</v>
      </c>
      <c r="Q18" s="558">
        <f t="shared" si="3"/>
        <v>3037211.683375</v>
      </c>
      <c r="R18" s="558">
        <f t="shared" si="3"/>
        <v>3067923.9858812499</v>
      </c>
      <c r="S18" s="558">
        <f t="shared" si="3"/>
        <v>3201077.7337634377</v>
      </c>
      <c r="T18" s="558">
        <f t="shared" si="3"/>
        <v>17474932.831152052</v>
      </c>
      <c r="U18" s="601">
        <f>J18+K18+L18+M18+N18</f>
        <v>12838747.5</v>
      </c>
      <c r="V18" s="601">
        <f>O18+P18+Q18+R18+S18</f>
        <v>15185241.625519689</v>
      </c>
      <c r="W18" s="601">
        <f>T18</f>
        <v>17474932.831152052</v>
      </c>
      <c r="X18" s="604">
        <f t="shared" si="1"/>
        <v>2567749.5</v>
      </c>
      <c r="Y18" s="604">
        <f t="shared" si="1"/>
        <v>3037048.3251039376</v>
      </c>
      <c r="Z18" s="604">
        <f t="shared" si="1"/>
        <v>3494986.5662304102</v>
      </c>
    </row>
    <row r="19" spans="1:26" ht="21" customHeight="1">
      <c r="A19" s="553"/>
      <c r="B19" s="555" t="s">
        <v>959</v>
      </c>
      <c r="C19" s="553"/>
      <c r="D19" s="554">
        <f>D17/D18*100</f>
        <v>15.706099360876754</v>
      </c>
      <c r="E19" s="554">
        <f t="shared" ref="E19:T19" si="4">E17/E18*100</f>
        <v>13.071749570883584</v>
      </c>
      <c r="F19" s="554">
        <f t="shared" si="4"/>
        <v>11.984052113048614</v>
      </c>
      <c r="G19" s="554">
        <f t="shared" si="4"/>
        <v>7.9791665367465239</v>
      </c>
      <c r="H19" s="554">
        <f t="shared" si="4"/>
        <v>8.3814175027198345</v>
      </c>
      <c r="I19" s="554">
        <f t="shared" si="4"/>
        <v>6.4911242881225544</v>
      </c>
      <c r="J19" s="554">
        <f t="shared" si="4"/>
        <v>11.845387848407714</v>
      </c>
      <c r="K19" s="554">
        <f t="shared" si="4"/>
        <v>12.218934157982456</v>
      </c>
      <c r="L19" s="554">
        <f t="shared" si="4"/>
        <v>8.0214400193415276</v>
      </c>
      <c r="M19" s="554">
        <f t="shared" si="4"/>
        <v>7.3190957445587772</v>
      </c>
      <c r="N19" s="554">
        <f t="shared" si="4"/>
        <v>7.7942104536134789</v>
      </c>
      <c r="O19" s="554">
        <f t="shared" si="4"/>
        <v>9.4192664690935661</v>
      </c>
      <c r="P19" s="554">
        <f t="shared" si="4"/>
        <v>8.3200704228795175</v>
      </c>
      <c r="Q19" s="554">
        <f t="shared" si="4"/>
        <v>9.0730587370118467</v>
      </c>
      <c r="R19" s="554">
        <f t="shared" si="4"/>
        <v>8.4696361838105112</v>
      </c>
      <c r="S19" s="554">
        <f t="shared" si="4"/>
        <v>9.2782814008961179</v>
      </c>
      <c r="T19" s="554">
        <f t="shared" si="4"/>
        <v>4.6204665641521574</v>
      </c>
    </row>
    <row r="22" spans="1:26" ht="18" customHeight="1">
      <c r="B22" s="548" t="s">
        <v>836</v>
      </c>
      <c r="U22" s="564" t="s">
        <v>719</v>
      </c>
      <c r="V22" s="564" t="s">
        <v>722</v>
      </c>
      <c r="W22" s="548" t="s">
        <v>965</v>
      </c>
    </row>
    <row r="23" spans="1:26" s="557" customFormat="1" ht="19.5" customHeight="1">
      <c r="A23" s="557">
        <v>1</v>
      </c>
      <c r="B23" s="560" t="s">
        <v>960</v>
      </c>
      <c r="J23" s="560">
        <f>SUM(J24:J28)</f>
        <v>257</v>
      </c>
      <c r="K23" s="562">
        <f t="shared" ref="K23:T23" si="5">SUM(K24:K28)</f>
        <v>250.8125</v>
      </c>
      <c r="L23" s="562">
        <f t="shared" si="5"/>
        <v>109.30871212121212</v>
      </c>
      <c r="M23" s="562">
        <f t="shared" si="5"/>
        <v>107.58467023172909</v>
      </c>
      <c r="N23" s="562">
        <f t="shared" si="5"/>
        <v>115.29411764705878</v>
      </c>
      <c r="O23" s="562">
        <f t="shared" si="5"/>
        <v>192.14285714285711</v>
      </c>
      <c r="P23" s="562">
        <f t="shared" si="5"/>
        <v>189.28571428571433</v>
      </c>
      <c r="Q23" s="562">
        <f t="shared" si="5"/>
        <v>202.85714285714289</v>
      </c>
      <c r="R23" s="562">
        <f t="shared" si="5"/>
        <v>197.14285714285711</v>
      </c>
      <c r="S23" s="562">
        <f t="shared" si="5"/>
        <v>222.85714285714289</v>
      </c>
      <c r="T23" s="560">
        <f t="shared" si="5"/>
        <v>450</v>
      </c>
      <c r="U23" s="565">
        <f>J23+K23+L23+M23+N23</f>
        <v>840</v>
      </c>
      <c r="V23" s="565">
        <f>O23+P23+Q23+R23+S23</f>
        <v>1004.2857142857143</v>
      </c>
      <c r="W23" s="557">
        <f>T23</f>
        <v>450</v>
      </c>
    </row>
    <row r="24" spans="1:26" ht="19.5" customHeight="1">
      <c r="B24" s="548" t="s">
        <v>954</v>
      </c>
      <c r="J24" s="548">
        <v>207</v>
      </c>
      <c r="K24" s="548">
        <v>185</v>
      </c>
      <c r="L24" s="548">
        <v>40</v>
      </c>
      <c r="M24" s="548">
        <v>40</v>
      </c>
      <c r="N24" s="548">
        <v>40</v>
      </c>
      <c r="O24" s="548">
        <v>100</v>
      </c>
      <c r="P24" s="548">
        <v>100</v>
      </c>
      <c r="Q24" s="548">
        <v>100</v>
      </c>
      <c r="R24" s="548">
        <v>100</v>
      </c>
      <c r="S24" s="548">
        <v>100</v>
      </c>
      <c r="T24" s="548">
        <v>150</v>
      </c>
    </row>
    <row r="25" spans="1:26" ht="19.5" customHeight="1">
      <c r="B25" s="548" t="s">
        <v>948</v>
      </c>
      <c r="J25" s="548">
        <v>30</v>
      </c>
      <c r="K25" s="548">
        <v>30</v>
      </c>
      <c r="L25" s="548">
        <v>40</v>
      </c>
      <c r="M25" s="548">
        <v>40</v>
      </c>
      <c r="N25" s="548">
        <v>40</v>
      </c>
      <c r="O25" s="548">
        <v>40</v>
      </c>
      <c r="P25" s="548">
        <v>40</v>
      </c>
      <c r="Q25" s="548">
        <v>40</v>
      </c>
      <c r="R25" s="548">
        <v>40</v>
      </c>
      <c r="S25" s="548">
        <v>50</v>
      </c>
      <c r="T25" s="548">
        <v>100</v>
      </c>
    </row>
    <row r="26" spans="1:26" ht="19.5" customHeight="1">
      <c r="B26" s="548" t="s">
        <v>949</v>
      </c>
      <c r="J26" s="548">
        <v>20</v>
      </c>
      <c r="K26" s="548">
        <v>20</v>
      </c>
      <c r="L26" s="548">
        <v>25</v>
      </c>
      <c r="M26" s="548">
        <v>25</v>
      </c>
      <c r="N26" s="548">
        <v>30</v>
      </c>
      <c r="O26" s="548">
        <v>35</v>
      </c>
      <c r="P26" s="548">
        <v>35</v>
      </c>
      <c r="Q26" s="548">
        <v>40</v>
      </c>
      <c r="R26" s="548">
        <v>40</v>
      </c>
      <c r="S26" s="548">
        <v>50</v>
      </c>
      <c r="T26" s="548">
        <v>100</v>
      </c>
    </row>
    <row r="27" spans="1:26" ht="19.5" customHeight="1">
      <c r="B27" s="548" t="s">
        <v>309</v>
      </c>
      <c r="J27" s="548">
        <v>0</v>
      </c>
      <c r="K27" s="559">
        <v>15.8125</v>
      </c>
      <c r="L27" s="559">
        <v>4.3087121212121247</v>
      </c>
      <c r="M27" s="559">
        <v>2.5846702317290919</v>
      </c>
      <c r="N27" s="559">
        <v>5.2941176470587834</v>
      </c>
      <c r="O27" s="559">
        <v>17.14285714285711</v>
      </c>
      <c r="P27" s="559">
        <v>14.285714285714334</v>
      </c>
      <c r="Q27" s="559">
        <v>22.85714285714289</v>
      </c>
      <c r="R27" s="559">
        <v>17.14285714285711</v>
      </c>
      <c r="S27" s="559">
        <v>22.85714285714289</v>
      </c>
      <c r="T27" s="548">
        <v>100</v>
      </c>
    </row>
    <row r="28" spans="1:26" ht="19.5" customHeight="1">
      <c r="B28" s="548" t="s">
        <v>950</v>
      </c>
      <c r="K28" s="559"/>
      <c r="L28" s="559"/>
      <c r="M28" s="559"/>
      <c r="N28" s="559"/>
      <c r="O28" s="559"/>
      <c r="P28" s="559"/>
      <c r="Q28" s="559"/>
      <c r="R28" s="559"/>
      <c r="S28" s="559"/>
    </row>
    <row r="29" spans="1:26" ht="19.5" customHeight="1">
      <c r="A29" s="548">
        <v>2</v>
      </c>
      <c r="B29" s="599" t="s">
        <v>961</v>
      </c>
      <c r="J29" s="561">
        <f>SUM(J30:J34)</f>
        <v>25</v>
      </c>
      <c r="K29" s="561">
        <f t="shared" ref="K29:T29" si="6">SUM(K30:K34)</f>
        <v>29</v>
      </c>
      <c r="L29" s="561">
        <f t="shared" si="6"/>
        <v>29</v>
      </c>
      <c r="M29" s="561">
        <f t="shared" si="6"/>
        <v>31</v>
      </c>
      <c r="N29" s="561">
        <f t="shared" si="6"/>
        <v>31</v>
      </c>
      <c r="O29" s="561">
        <f t="shared" si="6"/>
        <v>31</v>
      </c>
      <c r="P29" s="561">
        <f t="shared" si="6"/>
        <v>31</v>
      </c>
      <c r="Q29" s="561">
        <f t="shared" si="6"/>
        <v>31</v>
      </c>
      <c r="R29" s="561">
        <f t="shared" si="6"/>
        <v>31</v>
      </c>
      <c r="S29" s="561">
        <f t="shared" si="6"/>
        <v>31</v>
      </c>
      <c r="T29" s="561">
        <f t="shared" si="6"/>
        <v>269</v>
      </c>
      <c r="U29" s="565">
        <f>J29+K29+L29+M29+N29</f>
        <v>145</v>
      </c>
      <c r="V29" s="565">
        <f>O29+P29+Q29+R29+S29</f>
        <v>155</v>
      </c>
      <c r="W29" s="557">
        <f>T29</f>
        <v>269</v>
      </c>
    </row>
    <row r="30" spans="1:26" ht="19.5" customHeight="1">
      <c r="B30" s="548" t="s">
        <v>954</v>
      </c>
      <c r="J30" s="99">
        <v>5</v>
      </c>
      <c r="K30" s="99">
        <v>8</v>
      </c>
      <c r="L30" s="99">
        <v>8</v>
      </c>
      <c r="M30" s="99">
        <v>10</v>
      </c>
      <c r="N30" s="99">
        <v>10</v>
      </c>
      <c r="O30" s="99">
        <v>10</v>
      </c>
      <c r="P30" s="99">
        <v>10</v>
      </c>
      <c r="Q30" s="99">
        <v>10</v>
      </c>
      <c r="R30" s="99">
        <v>10</v>
      </c>
      <c r="S30" s="99">
        <v>10</v>
      </c>
      <c r="T30" s="99">
        <v>50</v>
      </c>
    </row>
    <row r="31" spans="1:26" ht="19.5" customHeight="1">
      <c r="B31" s="548" t="s">
        <v>948</v>
      </c>
      <c r="J31" s="548">
        <v>0</v>
      </c>
      <c r="K31" s="548">
        <v>5</v>
      </c>
      <c r="L31" s="548">
        <v>5</v>
      </c>
      <c r="M31" s="548">
        <v>5</v>
      </c>
      <c r="N31" s="548">
        <v>5</v>
      </c>
      <c r="O31" s="548">
        <v>5</v>
      </c>
      <c r="P31" s="548">
        <v>5</v>
      </c>
      <c r="Q31" s="548">
        <v>5</v>
      </c>
      <c r="R31" s="548">
        <v>5</v>
      </c>
      <c r="S31" s="548">
        <v>5</v>
      </c>
      <c r="T31" s="548">
        <v>25</v>
      </c>
    </row>
    <row r="32" spans="1:26" ht="19.5" customHeight="1">
      <c r="B32" s="548" t="s">
        <v>949</v>
      </c>
      <c r="J32" s="548">
        <v>8</v>
      </c>
      <c r="K32" s="548">
        <v>10</v>
      </c>
      <c r="L32" s="548">
        <v>10</v>
      </c>
      <c r="M32" s="548">
        <v>10</v>
      </c>
      <c r="N32" s="548">
        <v>10</v>
      </c>
      <c r="O32" s="548">
        <v>10</v>
      </c>
      <c r="P32" s="548">
        <v>10</v>
      </c>
      <c r="Q32" s="548">
        <v>10</v>
      </c>
      <c r="R32" s="548">
        <v>10</v>
      </c>
      <c r="S32" s="548">
        <v>10</v>
      </c>
      <c r="T32" s="548">
        <v>102</v>
      </c>
    </row>
    <row r="33" spans="1:23" ht="19.5" customHeight="1">
      <c r="B33" s="548" t="s">
        <v>309</v>
      </c>
      <c r="J33" s="548">
        <v>12</v>
      </c>
      <c r="K33" s="548">
        <v>6</v>
      </c>
      <c r="L33" s="548">
        <v>6</v>
      </c>
      <c r="M33" s="548">
        <v>6</v>
      </c>
      <c r="N33" s="548">
        <v>6</v>
      </c>
      <c r="O33" s="548">
        <v>6</v>
      </c>
      <c r="P33" s="548">
        <v>6</v>
      </c>
      <c r="Q33" s="548">
        <v>6</v>
      </c>
      <c r="R33" s="548">
        <v>6</v>
      </c>
      <c r="S33" s="548">
        <v>6</v>
      </c>
      <c r="T33" s="548">
        <v>92</v>
      </c>
    </row>
    <row r="34" spans="1:23" ht="19.5" customHeight="1">
      <c r="B34" s="548" t="s">
        <v>950</v>
      </c>
    </row>
    <row r="35" spans="1:23" ht="19.5" customHeight="1">
      <c r="A35" s="548">
        <v>3</v>
      </c>
      <c r="B35" s="280" t="s">
        <v>962</v>
      </c>
      <c r="J35" s="561">
        <f t="shared" ref="J35:T35" si="7">SUM(J36:J40)</f>
        <v>60</v>
      </c>
      <c r="K35" s="561">
        <f t="shared" si="7"/>
        <v>55</v>
      </c>
      <c r="L35" s="561">
        <f t="shared" si="7"/>
        <v>55</v>
      </c>
      <c r="M35" s="561">
        <f t="shared" si="7"/>
        <v>55</v>
      </c>
      <c r="N35" s="561">
        <f t="shared" si="7"/>
        <v>55</v>
      </c>
      <c r="O35" s="561">
        <f t="shared" si="7"/>
        <v>60</v>
      </c>
      <c r="P35" s="561">
        <f t="shared" si="7"/>
        <v>65</v>
      </c>
      <c r="Q35" s="561">
        <f t="shared" si="7"/>
        <v>65</v>
      </c>
      <c r="R35" s="561">
        <f t="shared" si="7"/>
        <v>70</v>
      </c>
      <c r="S35" s="561">
        <f t="shared" si="7"/>
        <v>70</v>
      </c>
      <c r="T35" s="561">
        <f t="shared" si="7"/>
        <v>249</v>
      </c>
      <c r="U35" s="565">
        <f>J35+K35+L35+M35+N35</f>
        <v>280</v>
      </c>
      <c r="V35" s="565">
        <f>O35+P35+Q35+R35+S35</f>
        <v>330</v>
      </c>
      <c r="W35" s="557">
        <f>T35</f>
        <v>249</v>
      </c>
    </row>
    <row r="36" spans="1:23" ht="19.5" customHeight="1">
      <c r="B36" s="548" t="s">
        <v>954</v>
      </c>
      <c r="J36" s="548">
        <v>20</v>
      </c>
      <c r="K36" s="548">
        <v>25</v>
      </c>
      <c r="L36" s="548">
        <v>25</v>
      </c>
      <c r="M36" s="548">
        <v>25</v>
      </c>
      <c r="N36" s="548">
        <v>25</v>
      </c>
      <c r="O36" s="548">
        <v>30</v>
      </c>
      <c r="P36" s="548">
        <v>30</v>
      </c>
      <c r="Q36" s="548">
        <v>30</v>
      </c>
      <c r="R36" s="548">
        <v>30</v>
      </c>
      <c r="S36" s="548">
        <v>30</v>
      </c>
      <c r="T36" s="548">
        <v>50</v>
      </c>
    </row>
    <row r="37" spans="1:23" ht="19.5" customHeight="1">
      <c r="B37" s="548" t="s">
        <v>948</v>
      </c>
      <c r="J37" s="548">
        <v>10</v>
      </c>
      <c r="K37" s="548">
        <v>10</v>
      </c>
      <c r="L37" s="548">
        <v>10</v>
      </c>
      <c r="M37" s="548">
        <v>10</v>
      </c>
      <c r="N37" s="548">
        <v>10</v>
      </c>
      <c r="O37" s="548">
        <v>10</v>
      </c>
      <c r="P37" s="548">
        <v>15</v>
      </c>
      <c r="Q37" s="548">
        <v>15</v>
      </c>
      <c r="R37" s="548">
        <v>20</v>
      </c>
      <c r="S37" s="548">
        <v>20</v>
      </c>
      <c r="T37" s="548">
        <v>50</v>
      </c>
    </row>
    <row r="38" spans="1:23" ht="19.5" customHeight="1">
      <c r="B38" s="548" t="s">
        <v>949</v>
      </c>
      <c r="J38" s="548">
        <v>10</v>
      </c>
      <c r="K38" s="548">
        <v>10</v>
      </c>
      <c r="L38" s="548">
        <v>10</v>
      </c>
      <c r="M38" s="548">
        <v>10</v>
      </c>
      <c r="N38" s="548">
        <v>10</v>
      </c>
      <c r="O38" s="548">
        <v>10</v>
      </c>
      <c r="P38" s="548">
        <v>10</v>
      </c>
      <c r="Q38" s="548">
        <v>10</v>
      </c>
      <c r="R38" s="548">
        <v>10</v>
      </c>
      <c r="S38" s="548">
        <v>10</v>
      </c>
      <c r="T38" s="548">
        <v>100</v>
      </c>
    </row>
    <row r="39" spans="1:23" ht="19.5" customHeight="1">
      <c r="B39" s="548" t="s">
        <v>309</v>
      </c>
      <c r="J39" s="548">
        <v>20</v>
      </c>
      <c r="K39" s="548">
        <v>10</v>
      </c>
      <c r="L39" s="548">
        <v>10</v>
      </c>
      <c r="M39" s="548">
        <v>10</v>
      </c>
      <c r="N39" s="548">
        <v>10</v>
      </c>
      <c r="O39" s="548">
        <v>10</v>
      </c>
      <c r="P39" s="548">
        <v>10</v>
      </c>
      <c r="Q39" s="548">
        <v>10</v>
      </c>
      <c r="R39" s="548">
        <v>10</v>
      </c>
      <c r="S39" s="548">
        <v>10</v>
      </c>
      <c r="T39" s="548">
        <v>49</v>
      </c>
    </row>
    <row r="40" spans="1:23" ht="19.5" customHeight="1">
      <c r="B40" s="548" t="s">
        <v>950</v>
      </c>
    </row>
    <row r="41" spans="1:23" ht="19.5" customHeight="1"/>
    <row r="42" spans="1:23" ht="19.5" hidden="1" customHeight="1">
      <c r="B42" s="115" t="s">
        <v>963</v>
      </c>
      <c r="J42" s="561">
        <f t="shared" ref="J42:T42" si="8">SUM(J43:J47)</f>
        <v>70</v>
      </c>
      <c r="K42" s="561">
        <f t="shared" si="8"/>
        <v>91</v>
      </c>
      <c r="L42" s="561">
        <f t="shared" si="8"/>
        <v>70</v>
      </c>
      <c r="M42" s="561">
        <f t="shared" si="8"/>
        <v>75</v>
      </c>
      <c r="N42" s="561">
        <f t="shared" si="8"/>
        <v>93.300000000000068</v>
      </c>
      <c r="O42" s="561">
        <f t="shared" si="8"/>
        <v>77</v>
      </c>
      <c r="P42" s="561">
        <f t="shared" si="8"/>
        <v>75</v>
      </c>
      <c r="Q42" s="561">
        <f t="shared" si="8"/>
        <v>77</v>
      </c>
      <c r="R42" s="561">
        <f t="shared" si="8"/>
        <v>75</v>
      </c>
      <c r="S42" s="561">
        <f t="shared" si="8"/>
        <v>61.699999999999932</v>
      </c>
      <c r="T42" s="561">
        <f t="shared" si="8"/>
        <v>214</v>
      </c>
      <c r="U42" s="565">
        <f>J42+K42+L42+M42+N42</f>
        <v>399.30000000000007</v>
      </c>
      <c r="V42" s="565">
        <f>O42+P42+Q42+R42+S42</f>
        <v>365.69999999999993</v>
      </c>
      <c r="W42" s="557">
        <f>T42</f>
        <v>214</v>
      </c>
    </row>
    <row r="43" spans="1:23" ht="19.5" hidden="1" customHeight="1">
      <c r="B43" s="548" t="s">
        <v>948</v>
      </c>
      <c r="J43" s="548">
        <v>20</v>
      </c>
      <c r="K43" s="548">
        <v>20</v>
      </c>
      <c r="L43" s="548">
        <v>20</v>
      </c>
      <c r="M43" s="548">
        <v>25</v>
      </c>
      <c r="N43" s="548">
        <v>25</v>
      </c>
      <c r="O43" s="548">
        <v>25</v>
      </c>
      <c r="P43" s="548">
        <v>25</v>
      </c>
      <c r="Q43" s="548">
        <v>25</v>
      </c>
      <c r="R43" s="548">
        <v>25</v>
      </c>
      <c r="S43" s="548">
        <v>25</v>
      </c>
      <c r="T43" s="548">
        <v>100</v>
      </c>
    </row>
    <row r="44" spans="1:23" ht="19.5" hidden="1" customHeight="1">
      <c r="B44" s="548" t="s">
        <v>949</v>
      </c>
      <c r="J44" s="548">
        <v>30</v>
      </c>
      <c r="K44" s="548">
        <v>30</v>
      </c>
      <c r="L44" s="548">
        <v>30</v>
      </c>
      <c r="M44" s="548">
        <v>30</v>
      </c>
      <c r="N44" s="548">
        <v>30</v>
      </c>
      <c r="O44" s="548">
        <v>30</v>
      </c>
      <c r="P44" s="548">
        <v>30</v>
      </c>
      <c r="Q44" s="548">
        <v>30</v>
      </c>
      <c r="R44" s="548">
        <v>30</v>
      </c>
      <c r="S44" s="548">
        <v>30</v>
      </c>
      <c r="T44" s="548">
        <v>100</v>
      </c>
    </row>
    <row r="45" spans="1:23" ht="19.5" hidden="1" customHeight="1">
      <c r="B45" s="548" t="s">
        <v>309</v>
      </c>
      <c r="J45" s="548">
        <v>20</v>
      </c>
      <c r="K45" s="548">
        <v>20</v>
      </c>
      <c r="L45" s="548">
        <v>20</v>
      </c>
      <c r="M45" s="548">
        <v>20</v>
      </c>
      <c r="N45" s="548">
        <v>38.300000000000068</v>
      </c>
      <c r="O45" s="548">
        <v>20</v>
      </c>
      <c r="P45" s="548">
        <v>20</v>
      </c>
      <c r="Q45" s="548">
        <v>20</v>
      </c>
      <c r="R45" s="548">
        <v>20</v>
      </c>
      <c r="S45" s="548">
        <v>6.6999999999999318</v>
      </c>
      <c r="T45" s="548">
        <v>14</v>
      </c>
    </row>
    <row r="46" spans="1:23" hidden="1">
      <c r="B46" s="548" t="s">
        <v>950</v>
      </c>
      <c r="J46" s="548">
        <v>0</v>
      </c>
      <c r="K46" s="548">
        <v>21</v>
      </c>
      <c r="L46" s="548">
        <v>0</v>
      </c>
      <c r="M46" s="548">
        <v>0</v>
      </c>
      <c r="N46" s="548">
        <v>0</v>
      </c>
      <c r="O46" s="548">
        <v>2</v>
      </c>
      <c r="P46" s="548">
        <v>0</v>
      </c>
      <c r="Q46" s="548">
        <v>2</v>
      </c>
      <c r="R46" s="548">
        <v>0</v>
      </c>
      <c r="S46" s="548">
        <v>0</v>
      </c>
      <c r="T46" s="548">
        <v>0</v>
      </c>
    </row>
    <row r="47" spans="1:23" hidden="1"/>
    <row r="48" spans="1:23" ht="18" customHeight="1">
      <c r="A48" s="548">
        <v>4</v>
      </c>
      <c r="B48" s="155" t="s">
        <v>964</v>
      </c>
      <c r="J48" s="561">
        <f t="shared" ref="J48:T48" si="9">SUM(J49:J53)</f>
        <v>17</v>
      </c>
      <c r="K48" s="561">
        <f t="shared" si="9"/>
        <v>20</v>
      </c>
      <c r="L48" s="561">
        <f t="shared" si="9"/>
        <v>22</v>
      </c>
      <c r="M48" s="561">
        <f t="shared" si="9"/>
        <v>22</v>
      </c>
      <c r="N48" s="561">
        <f t="shared" si="9"/>
        <v>24.5</v>
      </c>
      <c r="O48" s="561">
        <f t="shared" si="9"/>
        <v>18.5</v>
      </c>
      <c r="P48" s="561">
        <f t="shared" si="9"/>
        <v>18</v>
      </c>
      <c r="Q48" s="561">
        <f t="shared" si="9"/>
        <v>29</v>
      </c>
      <c r="R48" s="561">
        <f t="shared" si="9"/>
        <v>28</v>
      </c>
      <c r="S48" s="561">
        <f t="shared" si="9"/>
        <v>38</v>
      </c>
      <c r="T48" s="561">
        <f t="shared" si="9"/>
        <v>80</v>
      </c>
      <c r="U48" s="565">
        <f>J48+K48+L48+M48+N48</f>
        <v>105.5</v>
      </c>
      <c r="V48" s="565">
        <f>O48+P48+Q48+R48+S48</f>
        <v>131.5</v>
      </c>
      <c r="W48" s="557">
        <f>T48</f>
        <v>80</v>
      </c>
    </row>
    <row r="49" spans="1:23" ht="18" customHeight="1">
      <c r="B49" s="548" t="s">
        <v>954</v>
      </c>
      <c r="J49" s="548">
        <v>5</v>
      </c>
      <c r="K49" s="548">
        <v>8</v>
      </c>
      <c r="L49" s="548">
        <v>10</v>
      </c>
      <c r="M49" s="548">
        <v>10</v>
      </c>
      <c r="N49" s="548">
        <v>10</v>
      </c>
      <c r="O49" s="548">
        <v>10</v>
      </c>
      <c r="P49" s="548">
        <v>10</v>
      </c>
      <c r="Q49" s="548">
        <v>20</v>
      </c>
      <c r="R49" s="548">
        <v>20</v>
      </c>
      <c r="S49" s="548">
        <v>30</v>
      </c>
      <c r="T49" s="548">
        <v>20</v>
      </c>
    </row>
    <row r="50" spans="1:23" ht="18" customHeight="1">
      <c r="B50" s="548" t="s">
        <v>948</v>
      </c>
      <c r="J50" s="548">
        <v>5</v>
      </c>
      <c r="K50" s="548">
        <v>5</v>
      </c>
      <c r="L50" s="548">
        <v>5</v>
      </c>
      <c r="M50" s="548">
        <v>5</v>
      </c>
      <c r="N50" s="548">
        <v>5</v>
      </c>
      <c r="O50" s="548">
        <v>5</v>
      </c>
      <c r="P50" s="548">
        <v>5</v>
      </c>
      <c r="Q50" s="548">
        <v>5</v>
      </c>
      <c r="R50" s="548">
        <v>5</v>
      </c>
      <c r="S50" s="548">
        <v>5</v>
      </c>
      <c r="T50" s="548">
        <v>25</v>
      </c>
    </row>
    <row r="51" spans="1:23" ht="18" customHeight="1">
      <c r="B51" s="548" t="s">
        <v>949</v>
      </c>
      <c r="J51" s="548">
        <v>5</v>
      </c>
      <c r="K51" s="548">
        <v>5</v>
      </c>
      <c r="L51" s="548">
        <v>5</v>
      </c>
      <c r="M51" s="548">
        <v>5</v>
      </c>
      <c r="N51" s="548">
        <v>5</v>
      </c>
      <c r="O51" s="548">
        <v>3</v>
      </c>
      <c r="P51" s="548">
        <v>3</v>
      </c>
      <c r="Q51" s="548">
        <v>3</v>
      </c>
      <c r="R51" s="548">
        <v>3</v>
      </c>
      <c r="S51" s="548">
        <v>3</v>
      </c>
      <c r="T51" s="548">
        <v>35</v>
      </c>
    </row>
    <row r="52" spans="1:23" ht="18" customHeight="1">
      <c r="B52" s="548" t="s">
        <v>309</v>
      </c>
      <c r="J52" s="548">
        <v>2</v>
      </c>
      <c r="K52" s="548">
        <v>2</v>
      </c>
      <c r="L52" s="548">
        <v>2</v>
      </c>
      <c r="M52" s="548">
        <v>2</v>
      </c>
      <c r="N52" s="559">
        <v>4.5</v>
      </c>
      <c r="O52" s="559">
        <v>0.5</v>
      </c>
      <c r="P52" s="548">
        <v>0</v>
      </c>
      <c r="Q52" s="548">
        <v>1</v>
      </c>
      <c r="R52" s="548">
        <v>0</v>
      </c>
      <c r="S52" s="548">
        <v>0</v>
      </c>
      <c r="T52" s="548">
        <v>0</v>
      </c>
    </row>
    <row r="53" spans="1:23" ht="18" customHeight="1">
      <c r="B53" s="548" t="s">
        <v>950</v>
      </c>
    </row>
    <row r="54" spans="1:23" ht="18.75" customHeight="1">
      <c r="A54" s="548">
        <v>5</v>
      </c>
      <c r="B54" s="598" t="s">
        <v>173</v>
      </c>
      <c r="C54" s="563"/>
      <c r="D54" s="563"/>
      <c r="E54" s="563"/>
      <c r="F54" s="563"/>
      <c r="G54" s="563"/>
      <c r="H54" s="563"/>
      <c r="I54" s="563"/>
      <c r="J54" s="561">
        <f t="shared" ref="J54:T54" si="10">SUM(J55:J59)</f>
        <v>40</v>
      </c>
      <c r="K54" s="561">
        <f t="shared" si="10"/>
        <v>43</v>
      </c>
      <c r="L54" s="561">
        <f t="shared" si="10"/>
        <v>45</v>
      </c>
      <c r="M54" s="561">
        <f t="shared" si="10"/>
        <v>45</v>
      </c>
      <c r="N54" s="561">
        <f t="shared" si="10"/>
        <v>35</v>
      </c>
      <c r="O54" s="561">
        <f t="shared" si="10"/>
        <v>40</v>
      </c>
      <c r="P54" s="561">
        <f t="shared" si="10"/>
        <v>35</v>
      </c>
      <c r="Q54" s="561">
        <f t="shared" si="10"/>
        <v>50</v>
      </c>
      <c r="R54" s="561">
        <f t="shared" si="10"/>
        <v>50</v>
      </c>
      <c r="S54" s="561">
        <f t="shared" si="10"/>
        <v>60</v>
      </c>
      <c r="T54" s="561">
        <f t="shared" si="10"/>
        <v>178</v>
      </c>
      <c r="U54" s="565">
        <f>J54+K54+L54+M54+N54</f>
        <v>208</v>
      </c>
      <c r="V54" s="565">
        <f>O54+P54+Q54+R54+S54</f>
        <v>235</v>
      </c>
      <c r="W54" s="557">
        <f>T54</f>
        <v>178</v>
      </c>
    </row>
    <row r="55" spans="1:23" ht="18.75" customHeight="1">
      <c r="B55" s="548" t="s">
        <v>954</v>
      </c>
      <c r="J55" s="548">
        <v>5</v>
      </c>
      <c r="K55" s="548">
        <v>8</v>
      </c>
      <c r="L55" s="548">
        <v>10</v>
      </c>
      <c r="M55" s="548">
        <v>10</v>
      </c>
      <c r="N55" s="548">
        <v>10</v>
      </c>
      <c r="O55" s="548">
        <v>10</v>
      </c>
      <c r="P55" s="548">
        <v>10</v>
      </c>
      <c r="Q55" s="548">
        <v>20</v>
      </c>
      <c r="R55" s="548">
        <v>20</v>
      </c>
      <c r="S55" s="548">
        <v>30</v>
      </c>
      <c r="T55" s="548">
        <v>20</v>
      </c>
    </row>
    <row r="56" spans="1:23" ht="18.75" customHeight="1">
      <c r="B56" s="548" t="s">
        <v>948</v>
      </c>
      <c r="J56" s="548">
        <v>10</v>
      </c>
      <c r="K56" s="548">
        <v>10</v>
      </c>
      <c r="L56" s="548">
        <v>10</v>
      </c>
      <c r="M56" s="548">
        <v>10</v>
      </c>
      <c r="N56" s="548">
        <v>10</v>
      </c>
      <c r="O56" s="548">
        <v>10</v>
      </c>
      <c r="P56" s="548">
        <v>10</v>
      </c>
      <c r="Q56" s="548">
        <v>10</v>
      </c>
      <c r="R56" s="548">
        <v>10</v>
      </c>
      <c r="S56" s="548">
        <v>10</v>
      </c>
      <c r="T56" s="548">
        <v>50</v>
      </c>
    </row>
    <row r="57" spans="1:23" ht="18.75" customHeight="1">
      <c r="B57" s="548" t="s">
        <v>949</v>
      </c>
      <c r="J57" s="548">
        <v>10</v>
      </c>
      <c r="K57" s="548">
        <v>10</v>
      </c>
      <c r="L57" s="548">
        <v>10</v>
      </c>
      <c r="M57" s="548">
        <v>10</v>
      </c>
      <c r="N57" s="548">
        <v>10</v>
      </c>
      <c r="O57" s="548">
        <v>10</v>
      </c>
      <c r="P57" s="548">
        <v>10</v>
      </c>
      <c r="Q57" s="548">
        <v>10</v>
      </c>
      <c r="R57" s="548">
        <v>10</v>
      </c>
      <c r="S57" s="548">
        <v>10</v>
      </c>
      <c r="T57" s="548">
        <v>68</v>
      </c>
    </row>
    <row r="58" spans="1:23" ht="18.75" customHeight="1">
      <c r="B58" s="548" t="s">
        <v>309</v>
      </c>
      <c r="J58" s="548">
        <v>15</v>
      </c>
      <c r="K58" s="548">
        <v>15</v>
      </c>
      <c r="L58" s="548">
        <v>15</v>
      </c>
      <c r="M58" s="548">
        <v>15</v>
      </c>
      <c r="N58" s="548">
        <v>5</v>
      </c>
      <c r="O58" s="548">
        <v>10</v>
      </c>
      <c r="P58" s="548">
        <v>5</v>
      </c>
      <c r="Q58" s="548">
        <v>10</v>
      </c>
      <c r="R58" s="548">
        <v>10</v>
      </c>
      <c r="S58" s="548">
        <v>10</v>
      </c>
      <c r="T58" s="548">
        <v>40</v>
      </c>
    </row>
    <row r="59" spans="1:23" ht="18.75" customHeight="1">
      <c r="B59" s="548" t="s">
        <v>950</v>
      </c>
    </row>
    <row r="60" spans="1:23" s="557" customFormat="1" ht="18.75" customHeight="1">
      <c r="A60" s="557">
        <v>6</v>
      </c>
      <c r="B60" s="598" t="s">
        <v>174</v>
      </c>
      <c r="C60" s="560"/>
      <c r="D60" s="560"/>
      <c r="E60" s="560"/>
      <c r="F60" s="560"/>
      <c r="G60" s="560"/>
      <c r="H60" s="560"/>
      <c r="I60" s="560"/>
      <c r="J60" s="561">
        <f t="shared" ref="J60:T60" si="11">SUM(J61:J65)</f>
        <v>49</v>
      </c>
      <c r="K60" s="561">
        <f t="shared" si="11"/>
        <v>27</v>
      </c>
      <c r="L60" s="561">
        <f t="shared" si="11"/>
        <v>33</v>
      </c>
      <c r="M60" s="561">
        <f t="shared" si="11"/>
        <v>21</v>
      </c>
      <c r="N60" s="561">
        <f t="shared" si="11"/>
        <v>31</v>
      </c>
      <c r="O60" s="561">
        <f t="shared" si="11"/>
        <v>32</v>
      </c>
      <c r="P60" s="561">
        <f t="shared" si="11"/>
        <v>31</v>
      </c>
      <c r="Q60" s="561">
        <f t="shared" si="11"/>
        <v>39</v>
      </c>
      <c r="R60" s="561">
        <f t="shared" si="11"/>
        <v>37</v>
      </c>
      <c r="S60" s="561">
        <f t="shared" si="11"/>
        <v>46</v>
      </c>
      <c r="T60" s="561">
        <f t="shared" si="11"/>
        <v>111</v>
      </c>
      <c r="U60" s="565">
        <f>J60+K60+L60+M60+N60</f>
        <v>161</v>
      </c>
      <c r="V60" s="565">
        <f>O60+P60+Q60+R60+S60</f>
        <v>185</v>
      </c>
      <c r="W60" s="557">
        <f>T60</f>
        <v>111</v>
      </c>
    </row>
    <row r="61" spans="1:23" ht="18.75" customHeight="1">
      <c r="B61" s="548" t="s">
        <v>954</v>
      </c>
      <c r="J61" s="548">
        <v>24</v>
      </c>
      <c r="K61" s="548">
        <v>8</v>
      </c>
      <c r="L61" s="548">
        <v>14</v>
      </c>
      <c r="M61" s="548">
        <v>1</v>
      </c>
      <c r="N61" s="548">
        <v>8</v>
      </c>
      <c r="O61" s="548">
        <v>3</v>
      </c>
      <c r="P61" s="548">
        <v>2</v>
      </c>
      <c r="Q61" s="548">
        <v>3</v>
      </c>
      <c r="R61" s="548">
        <v>3</v>
      </c>
      <c r="S61" s="548">
        <v>2</v>
      </c>
      <c r="T61" s="548">
        <v>5</v>
      </c>
    </row>
    <row r="62" spans="1:23" ht="18.75" customHeight="1">
      <c r="B62" s="548" t="s">
        <v>948</v>
      </c>
      <c r="J62" s="548">
        <v>20</v>
      </c>
      <c r="K62" s="548">
        <v>15</v>
      </c>
      <c r="L62" s="548">
        <v>15</v>
      </c>
      <c r="M62" s="548">
        <v>15</v>
      </c>
      <c r="N62" s="548">
        <v>20</v>
      </c>
      <c r="O62" s="548">
        <v>25</v>
      </c>
      <c r="P62" s="548">
        <v>25</v>
      </c>
      <c r="Q62" s="548">
        <v>30</v>
      </c>
      <c r="R62" s="548">
        <v>30</v>
      </c>
      <c r="S62" s="548">
        <v>30</v>
      </c>
      <c r="T62" s="548">
        <v>100</v>
      </c>
    </row>
    <row r="63" spans="1:23" ht="18.75" customHeight="1">
      <c r="B63" s="548" t="s">
        <v>949</v>
      </c>
      <c r="J63" s="548">
        <v>5</v>
      </c>
      <c r="K63" s="548">
        <v>3</v>
      </c>
      <c r="L63" s="548">
        <v>3</v>
      </c>
      <c r="M63" s="548">
        <v>4</v>
      </c>
      <c r="N63" s="548">
        <v>3</v>
      </c>
      <c r="O63" s="548">
        <v>3</v>
      </c>
      <c r="P63" s="548">
        <v>3</v>
      </c>
      <c r="Q63" s="548">
        <v>3</v>
      </c>
      <c r="R63" s="548">
        <v>3</v>
      </c>
      <c r="S63" s="548">
        <v>12</v>
      </c>
      <c r="T63" s="548">
        <v>1</v>
      </c>
    </row>
    <row r="64" spans="1:23" ht="18.75" customHeight="1">
      <c r="B64" s="548" t="s">
        <v>309</v>
      </c>
      <c r="J64" s="548">
        <v>0</v>
      </c>
      <c r="K64" s="548">
        <v>1</v>
      </c>
      <c r="L64" s="548">
        <v>1</v>
      </c>
      <c r="M64" s="548">
        <v>1</v>
      </c>
      <c r="N64" s="548">
        <v>0</v>
      </c>
      <c r="O64" s="548">
        <v>1</v>
      </c>
      <c r="P64" s="548">
        <v>1</v>
      </c>
      <c r="Q64" s="548">
        <v>3</v>
      </c>
      <c r="R64" s="548">
        <v>1</v>
      </c>
      <c r="S64" s="548">
        <v>2</v>
      </c>
      <c r="T64" s="548">
        <v>5</v>
      </c>
    </row>
    <row r="65" spans="1:23" ht="18.75" customHeight="1">
      <c r="B65" s="548" t="s">
        <v>950</v>
      </c>
    </row>
    <row r="66" spans="1:23" s="557" customFormat="1" ht="33.75" customHeight="1">
      <c r="A66" s="557">
        <v>7</v>
      </c>
      <c r="B66" s="560" t="s">
        <v>966</v>
      </c>
      <c r="C66" s="560"/>
      <c r="D66" s="560"/>
      <c r="E66" s="560"/>
      <c r="F66" s="560"/>
      <c r="G66" s="560"/>
      <c r="H66" s="560"/>
      <c r="I66" s="560"/>
      <c r="J66" s="560">
        <f>J67+J68</f>
        <v>3</v>
      </c>
      <c r="K66" s="560">
        <f t="shared" ref="K66:T66" si="12">K67+K68</f>
        <v>3</v>
      </c>
      <c r="L66" s="560">
        <f t="shared" si="12"/>
        <v>3</v>
      </c>
      <c r="M66" s="560">
        <f t="shared" si="12"/>
        <v>2</v>
      </c>
      <c r="N66" s="560">
        <f t="shared" si="12"/>
        <v>1</v>
      </c>
      <c r="O66" s="560">
        <f t="shared" si="12"/>
        <v>1</v>
      </c>
      <c r="P66" s="560">
        <f t="shared" si="12"/>
        <v>1</v>
      </c>
      <c r="Q66" s="560">
        <f t="shared" si="12"/>
        <v>1</v>
      </c>
      <c r="R66" s="560">
        <f t="shared" si="12"/>
        <v>1</v>
      </c>
      <c r="S66" s="560">
        <f t="shared" si="12"/>
        <v>2</v>
      </c>
      <c r="T66" s="560">
        <f t="shared" si="12"/>
        <v>17</v>
      </c>
      <c r="U66" s="565">
        <f>J66+K66+L66+M66+N66</f>
        <v>12</v>
      </c>
      <c r="V66" s="565">
        <f>O66+P66+Q66+R66+S66</f>
        <v>6</v>
      </c>
      <c r="W66" s="557">
        <f>T66</f>
        <v>17</v>
      </c>
    </row>
    <row r="67" spans="1:23" ht="16.5" customHeight="1">
      <c r="B67" s="548" t="s">
        <v>950</v>
      </c>
    </row>
    <row r="68" spans="1:23" ht="16.5" customHeight="1">
      <c r="B68" s="548" t="s">
        <v>309</v>
      </c>
      <c r="J68" s="548">
        <v>3</v>
      </c>
      <c r="K68" s="548">
        <v>3</v>
      </c>
      <c r="L68" s="548">
        <v>3</v>
      </c>
      <c r="M68" s="548">
        <v>2</v>
      </c>
      <c r="N68" s="548">
        <v>1</v>
      </c>
      <c r="O68" s="548">
        <v>1</v>
      </c>
      <c r="P68" s="548">
        <v>1</v>
      </c>
      <c r="Q68" s="548">
        <v>1</v>
      </c>
      <c r="R68" s="548">
        <v>1</v>
      </c>
      <c r="S68" s="548">
        <v>2</v>
      </c>
      <c r="T68" s="548">
        <v>17</v>
      </c>
    </row>
    <row r="69" spans="1:23" s="557" customFormat="1" ht="27" hidden="1" customHeight="1">
      <c r="B69" s="560" t="s">
        <v>953</v>
      </c>
      <c r="C69" s="560"/>
      <c r="D69" s="560"/>
      <c r="E69" s="560"/>
      <c r="F69" s="560"/>
      <c r="G69" s="560"/>
      <c r="H69" s="560"/>
      <c r="I69" s="560"/>
      <c r="J69" s="560">
        <v>0</v>
      </c>
      <c r="K69" s="560">
        <v>2</v>
      </c>
      <c r="L69" s="600">
        <v>2</v>
      </c>
      <c r="M69" s="560">
        <v>2</v>
      </c>
      <c r="N69" s="560">
        <v>2</v>
      </c>
      <c r="O69" s="560">
        <v>5</v>
      </c>
      <c r="P69" s="560">
        <v>5</v>
      </c>
      <c r="Q69" s="560">
        <v>5</v>
      </c>
      <c r="R69" s="560">
        <v>5</v>
      </c>
      <c r="S69" s="560">
        <v>5</v>
      </c>
      <c r="T69" s="560">
        <v>20</v>
      </c>
      <c r="U69" s="565">
        <f>J69+K69+L69+M69+N69</f>
        <v>8</v>
      </c>
      <c r="V69" s="565">
        <f>O69+P69+Q69+R69+S69</f>
        <v>25</v>
      </c>
      <c r="W69" s="557">
        <f>T69</f>
        <v>20</v>
      </c>
    </row>
    <row r="70" spans="1:23" ht="24" customHeight="1">
      <c r="A70" s="548">
        <v>8</v>
      </c>
      <c r="B70" s="560" t="s">
        <v>989</v>
      </c>
      <c r="C70" s="560"/>
      <c r="D70" s="560"/>
      <c r="E70" s="560"/>
      <c r="F70" s="560"/>
      <c r="G70" s="560"/>
      <c r="H70" s="560"/>
      <c r="I70" s="560"/>
      <c r="J70" s="560">
        <v>21</v>
      </c>
      <c r="K70" s="560">
        <v>10</v>
      </c>
      <c r="L70" s="602">
        <v>8</v>
      </c>
      <c r="M70" s="560">
        <v>2</v>
      </c>
      <c r="N70" s="560">
        <v>9</v>
      </c>
      <c r="O70" s="560">
        <v>1</v>
      </c>
      <c r="P70" s="560">
        <v>5</v>
      </c>
      <c r="Q70" s="560">
        <v>3</v>
      </c>
      <c r="R70" s="560">
        <v>7</v>
      </c>
      <c r="S70" s="560">
        <v>11</v>
      </c>
      <c r="T70" s="560">
        <v>20</v>
      </c>
      <c r="U70" s="565">
        <f>J70+K70+L70+M70+N70</f>
        <v>50</v>
      </c>
      <c r="V70" s="565">
        <f>O70+P70+Q70+R70+S70</f>
        <v>27</v>
      </c>
      <c r="W70" s="557">
        <f>T70</f>
        <v>20</v>
      </c>
    </row>
    <row r="71" spans="1:23" ht="16.5">
      <c r="L71" s="597"/>
    </row>
    <row r="72" spans="1:23" ht="16.5" hidden="1">
      <c r="L72" s="597"/>
    </row>
    <row r="73" spans="1:23" ht="16.5" hidden="1">
      <c r="L73" s="597"/>
    </row>
    <row r="74" spans="1:23" ht="16.5" hidden="1">
      <c r="L74" s="597"/>
    </row>
    <row r="75" spans="1:23" ht="16.5" hidden="1">
      <c r="L75" s="596"/>
    </row>
    <row r="76" spans="1:23" s="557" customFormat="1" ht="20.25" hidden="1" customHeight="1">
      <c r="B76" s="557" t="s">
        <v>993</v>
      </c>
      <c r="J76" s="557">
        <v>2016</v>
      </c>
      <c r="K76" s="557">
        <v>2017</v>
      </c>
      <c r="L76" s="557">
        <v>2018</v>
      </c>
      <c r="M76" s="557">
        <v>2019</v>
      </c>
      <c r="N76" s="557">
        <v>2020</v>
      </c>
      <c r="O76" s="557">
        <v>2021</v>
      </c>
      <c r="P76" s="557">
        <v>2022</v>
      </c>
      <c r="Q76" s="557">
        <v>2023</v>
      </c>
      <c r="R76" s="557">
        <v>2024</v>
      </c>
      <c r="S76" s="557">
        <v>2025</v>
      </c>
      <c r="T76" s="557">
        <v>2030</v>
      </c>
    </row>
    <row r="77" spans="1:23" ht="20.25" hidden="1" customHeight="1">
      <c r="B77" s="548" t="s">
        <v>954</v>
      </c>
      <c r="J77" s="121">
        <v>88</v>
      </c>
      <c r="K77" s="121">
        <v>97</v>
      </c>
      <c r="L77" s="121">
        <v>106</v>
      </c>
      <c r="M77" s="121">
        <v>115</v>
      </c>
      <c r="N77" s="616">
        <v>122</v>
      </c>
      <c r="O77" s="121">
        <v>125</v>
      </c>
      <c r="P77" s="121">
        <v>128</v>
      </c>
      <c r="Q77" s="121">
        <v>131</v>
      </c>
      <c r="R77" s="121">
        <v>136</v>
      </c>
      <c r="S77" s="616">
        <v>140</v>
      </c>
      <c r="T77" s="616">
        <v>161</v>
      </c>
    </row>
    <row r="78" spans="1:23" ht="20.25" hidden="1" customHeight="1">
      <c r="B78" s="548" t="s">
        <v>948</v>
      </c>
      <c r="J78" s="121">
        <v>104</v>
      </c>
      <c r="K78" s="121">
        <v>107</v>
      </c>
      <c r="L78" s="121">
        <v>110</v>
      </c>
      <c r="M78" s="121">
        <v>115</v>
      </c>
      <c r="N78" s="121">
        <v>118</v>
      </c>
      <c r="O78" s="121">
        <v>120</v>
      </c>
      <c r="P78" s="121">
        <v>123</v>
      </c>
      <c r="Q78" s="121">
        <v>126</v>
      </c>
      <c r="R78" s="121">
        <v>128</v>
      </c>
      <c r="S78" s="121">
        <v>130</v>
      </c>
      <c r="T78" s="121">
        <v>145</v>
      </c>
    </row>
    <row r="79" spans="1:23" ht="20.25" hidden="1" customHeight="1">
      <c r="B79" s="548" t="s">
        <v>949</v>
      </c>
      <c r="J79" s="202">
        <v>75</v>
      </c>
      <c r="K79" s="202">
        <v>80</v>
      </c>
      <c r="L79" s="202">
        <v>82</v>
      </c>
      <c r="M79" s="202">
        <v>84</v>
      </c>
      <c r="N79" s="618">
        <v>86</v>
      </c>
      <c r="O79" s="202">
        <v>88</v>
      </c>
      <c r="P79" s="202">
        <v>89</v>
      </c>
      <c r="Q79" s="202">
        <v>90</v>
      </c>
      <c r="R79" s="202">
        <v>92</v>
      </c>
      <c r="S79" s="618">
        <v>94</v>
      </c>
      <c r="T79" s="616">
        <v>100</v>
      </c>
    </row>
    <row r="80" spans="1:23" ht="20.25" hidden="1" customHeight="1">
      <c r="B80" s="548" t="s">
        <v>309</v>
      </c>
      <c r="J80" s="282">
        <v>15</v>
      </c>
      <c r="K80" s="282">
        <v>16</v>
      </c>
      <c r="L80" s="282">
        <v>18</v>
      </c>
      <c r="M80" s="282">
        <v>20</v>
      </c>
      <c r="N80" s="282">
        <v>22.2</v>
      </c>
      <c r="O80" s="282">
        <v>25</v>
      </c>
      <c r="P80" s="282">
        <v>27</v>
      </c>
      <c r="Q80" s="282">
        <v>29</v>
      </c>
      <c r="R80" s="282">
        <v>31</v>
      </c>
      <c r="S80" s="282">
        <v>33.15</v>
      </c>
      <c r="T80" s="282">
        <v>37</v>
      </c>
    </row>
    <row r="81" spans="10:20" ht="20.25" hidden="1" customHeight="1">
      <c r="J81" s="624">
        <f>SUM(J77:J80)</f>
        <v>282</v>
      </c>
      <c r="K81" s="624">
        <f t="shared" ref="K81:T81" si="13">SUM(K77:K80)</f>
        <v>300</v>
      </c>
      <c r="L81" s="624">
        <f t="shared" si="13"/>
        <v>316</v>
      </c>
      <c r="M81" s="624">
        <f t="shared" si="13"/>
        <v>334</v>
      </c>
      <c r="N81" s="624">
        <f>SUM(N77:N80)</f>
        <v>348.2</v>
      </c>
      <c r="O81" s="624">
        <f t="shared" si="13"/>
        <v>358</v>
      </c>
      <c r="P81" s="624">
        <f t="shared" si="13"/>
        <v>367</v>
      </c>
      <c r="Q81" s="624">
        <f t="shared" si="13"/>
        <v>376</v>
      </c>
      <c r="R81" s="624">
        <f t="shared" si="13"/>
        <v>387</v>
      </c>
      <c r="S81" s="624">
        <f t="shared" si="13"/>
        <v>397.15</v>
      </c>
      <c r="T81" s="624">
        <f t="shared" si="13"/>
        <v>443</v>
      </c>
    </row>
    <row r="82" spans="10:20" hidden="1"/>
    <row r="83" spans="10:20" hidden="1"/>
    <row r="84" spans="10:20" hidden="1"/>
    <row r="85" spans="10:20" hidden="1"/>
    <row r="86" spans="10:20" hidden="1">
      <c r="M86" s="548">
        <v>7138</v>
      </c>
    </row>
    <row r="87" spans="10:20" hidden="1">
      <c r="M87" s="548">
        <v>4153</v>
      </c>
    </row>
    <row r="88" spans="10:20" hidden="1">
      <c r="M88" s="548">
        <f>M87/M86*100</f>
        <v>58.181563463154951</v>
      </c>
    </row>
    <row r="89" spans="10:20" hidden="1"/>
    <row r="90" spans="10:20" hidden="1"/>
    <row r="91" spans="10:20" hidden="1"/>
    <row r="92" spans="10:20" hidden="1"/>
    <row r="93" spans="10:20" hidden="1"/>
    <row r="94" spans="10:20" hidden="1"/>
    <row r="95" spans="10:20" hidden="1"/>
    <row r="96" spans="10:20" hidden="1"/>
    <row r="97" spans="2:22" ht="25.5" customHeight="1"/>
    <row r="98" spans="2:22" ht="25.5" customHeight="1">
      <c r="B98" s="548" t="s">
        <v>954</v>
      </c>
      <c r="J98" s="624">
        <f>J24*700+J30*800+J36*300+J49*500+J55*300+J61*500+J70*250</f>
        <v>176150</v>
      </c>
      <c r="K98" s="624">
        <f t="shared" ref="K98:T98" si="14">K24*700+K30*800+K36*300+K49*500+K55*300+K61*500+K70*250</f>
        <v>156300</v>
      </c>
      <c r="L98" s="624">
        <f t="shared" si="14"/>
        <v>58900</v>
      </c>
      <c r="M98" s="624">
        <f t="shared" si="14"/>
        <v>52500</v>
      </c>
      <c r="N98" s="624">
        <f t="shared" si="14"/>
        <v>57750</v>
      </c>
      <c r="O98" s="624">
        <f t="shared" si="14"/>
        <v>96750</v>
      </c>
      <c r="P98" s="624">
        <f t="shared" si="14"/>
        <v>97250</v>
      </c>
      <c r="Q98" s="624">
        <f t="shared" si="14"/>
        <v>105250</v>
      </c>
      <c r="R98" s="624">
        <f t="shared" si="14"/>
        <v>106250</v>
      </c>
      <c r="S98" s="624">
        <f t="shared" si="14"/>
        <v>114750</v>
      </c>
      <c r="T98" s="624">
        <f t="shared" si="14"/>
        <v>183500</v>
      </c>
    </row>
    <row r="99" spans="2:22" ht="25.5" customHeight="1">
      <c r="B99" s="548" t="s">
        <v>948</v>
      </c>
      <c r="J99" s="548">
        <f>J25*400+J31*600+J37*300+J50*500+J56*300+J62*500</f>
        <v>30500</v>
      </c>
      <c r="K99" s="548">
        <f t="shared" ref="K99:T99" si="15">K25*400+K31*600+K37*300+K50*500+K56*300+K62*500</f>
        <v>31000</v>
      </c>
      <c r="L99" s="548">
        <f t="shared" si="15"/>
        <v>35000</v>
      </c>
      <c r="M99" s="548">
        <f t="shared" si="15"/>
        <v>35000</v>
      </c>
      <c r="N99" s="548">
        <f t="shared" si="15"/>
        <v>37500</v>
      </c>
      <c r="O99" s="548">
        <f t="shared" si="15"/>
        <v>40000</v>
      </c>
      <c r="P99" s="548">
        <f t="shared" si="15"/>
        <v>41500</v>
      </c>
      <c r="Q99" s="548">
        <f t="shared" si="15"/>
        <v>44000</v>
      </c>
      <c r="R99" s="548">
        <f t="shared" si="15"/>
        <v>45500</v>
      </c>
      <c r="S99" s="548">
        <f t="shared" si="15"/>
        <v>49500</v>
      </c>
      <c r="T99" s="548">
        <f t="shared" si="15"/>
        <v>147500</v>
      </c>
    </row>
    <row r="100" spans="2:22" ht="25.5" customHeight="1">
      <c r="B100" s="548" t="s">
        <v>949</v>
      </c>
      <c r="J100" s="548">
        <f>J26*400+J32*600+J38*300+J51*500+J57*300+J63*500</f>
        <v>23800</v>
      </c>
      <c r="K100" s="548">
        <f t="shared" ref="K100:T100" si="16">K26*400+K32*600+K38*300+K51*500+K57*300+K63*500</f>
        <v>24000</v>
      </c>
      <c r="L100" s="548">
        <f t="shared" si="16"/>
        <v>26000</v>
      </c>
      <c r="M100" s="548">
        <f t="shared" si="16"/>
        <v>26500</v>
      </c>
      <c r="N100" s="548">
        <f t="shared" si="16"/>
        <v>28000</v>
      </c>
      <c r="O100" s="548">
        <f t="shared" si="16"/>
        <v>29000</v>
      </c>
      <c r="P100" s="548">
        <f t="shared" si="16"/>
        <v>29000</v>
      </c>
      <c r="Q100" s="548">
        <f t="shared" si="16"/>
        <v>31000</v>
      </c>
      <c r="R100" s="548">
        <f t="shared" si="16"/>
        <v>31000</v>
      </c>
      <c r="S100" s="548">
        <f t="shared" si="16"/>
        <v>39500</v>
      </c>
      <c r="T100" s="548">
        <f t="shared" si="16"/>
        <v>169600</v>
      </c>
    </row>
    <row r="101" spans="2:22" ht="25.5" customHeight="1">
      <c r="B101" s="548" t="s">
        <v>309</v>
      </c>
      <c r="J101" s="548">
        <f>J27*600+J33*800+J39*300+J52*500+J58*300+J64*500+J68*4500</f>
        <v>34600</v>
      </c>
      <c r="K101" s="548">
        <f t="shared" ref="K101:T101" si="17">K27*600+K33*800+K39*300+K52*500+K58*300+K64*500+K68*4500</f>
        <v>36787.5</v>
      </c>
      <c r="L101" s="548">
        <f t="shared" si="17"/>
        <v>29885.227272727276</v>
      </c>
      <c r="M101" s="548">
        <f t="shared" si="17"/>
        <v>24350.802139037456</v>
      </c>
      <c r="N101" s="548">
        <f t="shared" si="17"/>
        <v>19226.470588235272</v>
      </c>
      <c r="O101" s="548">
        <f t="shared" si="17"/>
        <v>26335.714285714268</v>
      </c>
      <c r="P101" s="548">
        <f t="shared" si="17"/>
        <v>22871.428571428602</v>
      </c>
      <c r="Q101" s="548">
        <f t="shared" si="17"/>
        <v>31014.285714285732</v>
      </c>
      <c r="R101" s="548">
        <f t="shared" si="17"/>
        <v>26085.714285714268</v>
      </c>
      <c r="S101" s="548">
        <f t="shared" si="17"/>
        <v>34514.285714285732</v>
      </c>
      <c r="T101" s="548">
        <f t="shared" si="17"/>
        <v>239300</v>
      </c>
    </row>
    <row r="102" spans="2:22" ht="25.5" customHeight="1">
      <c r="J102" s="624">
        <f>SUM(J98:J101)</f>
        <v>265050</v>
      </c>
      <c r="K102" s="624">
        <f t="shared" ref="K102:T102" si="18">SUM(K98:K101)</f>
        <v>248087.5</v>
      </c>
      <c r="L102" s="624">
        <f t="shared" si="18"/>
        <v>149785.22727272726</v>
      </c>
      <c r="M102" s="624">
        <f t="shared" si="18"/>
        <v>138350.80213903746</v>
      </c>
      <c r="N102" s="624">
        <f t="shared" si="18"/>
        <v>142476.47058823527</v>
      </c>
      <c r="O102" s="624">
        <f t="shared" si="18"/>
        <v>192085.71428571426</v>
      </c>
      <c r="P102" s="624">
        <f t="shared" si="18"/>
        <v>190621.42857142861</v>
      </c>
      <c r="Q102" s="624">
        <f t="shared" si="18"/>
        <v>211264.28571428574</v>
      </c>
      <c r="R102" s="624">
        <f t="shared" si="18"/>
        <v>208835.71428571426</v>
      </c>
      <c r="S102" s="624">
        <f t="shared" si="18"/>
        <v>238264.28571428574</v>
      </c>
      <c r="T102" s="624">
        <f t="shared" si="18"/>
        <v>739900</v>
      </c>
      <c r="U102" s="565">
        <f>J102+K102+L102+M102+N102</f>
        <v>943750.00000000012</v>
      </c>
      <c r="V102" s="565">
        <f>K102+L102+M102+N102+O102</f>
        <v>870785.71428571432</v>
      </c>
    </row>
    <row r="103" spans="2:22" ht="25.5" customHeight="1"/>
    <row r="104" spans="2:22" ht="25.5" customHeight="1"/>
    <row r="105" spans="2:22" ht="25.5" customHeight="1"/>
    <row r="106" spans="2:22" ht="25.5" customHeight="1"/>
    <row r="107" spans="2:22" ht="25.5" customHeight="1"/>
    <row r="108" spans="2:22" ht="25.5" customHeight="1"/>
    <row r="109" spans="2:22" ht="25.5" customHeight="1"/>
    <row r="110" spans="2:22" ht="25.5" customHeight="1"/>
    <row r="111" spans="2:22" ht="25.5" customHeight="1"/>
    <row r="112" spans="2:22" ht="25.5" customHeight="1"/>
    <row r="113" ht="25.5" customHeight="1"/>
  </sheetData>
  <mergeCells count="5">
    <mergeCell ref="J1:T1"/>
    <mergeCell ref="A1:A2"/>
    <mergeCell ref="B1:B2"/>
    <mergeCell ref="C1:C2"/>
    <mergeCell ref="D1:I1"/>
  </mergeCells>
  <phoneticPr fontId="3" type="noConversion"/>
  <printOptions horizontalCentered="1"/>
  <pageMargins left="0.19" right="0.17" top="0.51" bottom="1" header="0.36" footer="0.5"/>
  <pageSetup paperSize="9" scale="65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AG156"/>
  <sheetViews>
    <sheetView zoomScale="70" workbookViewId="0">
      <pane xSplit="3" ySplit="3" topLeftCell="D63" activePane="bottomRight" state="frozen"/>
      <selection pane="topRight" activeCell="D1" sqref="D1"/>
      <selection pane="bottomLeft" activeCell="A4" sqref="A4"/>
      <selection pane="bottomRight" activeCell="J81" sqref="J81"/>
    </sheetView>
  </sheetViews>
  <sheetFormatPr defaultRowHeight="18" customHeight="1"/>
  <cols>
    <col min="1" max="1" width="3.5" style="90" customWidth="1"/>
    <col min="2" max="2" width="39.5" style="90" customWidth="1"/>
    <col min="3" max="3" width="7.25" style="91" customWidth="1"/>
    <col min="4" max="9" width="7.75" style="90" customWidth="1"/>
    <col min="10" max="10" width="7.625" style="90" customWidth="1"/>
    <col min="11" max="19" width="7.75" style="90" customWidth="1"/>
    <col min="20" max="20" width="9.125" style="90" customWidth="1"/>
    <col min="21" max="21" width="0" style="90" hidden="1" customWidth="1"/>
    <col min="22" max="22" width="12.375" style="90" hidden="1" customWidth="1"/>
    <col min="23" max="23" width="9.25" style="90" hidden="1" customWidth="1"/>
    <col min="24" max="24" width="10.125" style="90" hidden="1" customWidth="1"/>
    <col min="25" max="25" width="11" style="90" hidden="1" customWidth="1"/>
    <col min="26" max="16384" width="9" style="90"/>
  </cols>
  <sheetData>
    <row r="1" spans="1:28" ht="27.75" customHeight="1">
      <c r="A1" s="784" t="s">
        <v>177</v>
      </c>
      <c r="B1" s="784"/>
      <c r="C1" s="784"/>
      <c r="D1" s="784"/>
      <c r="E1" s="784"/>
      <c r="F1" s="784"/>
      <c r="G1" s="784"/>
      <c r="H1" s="784"/>
      <c r="I1" s="784"/>
      <c r="J1" s="784"/>
      <c r="K1" s="784"/>
      <c r="L1" s="784"/>
      <c r="M1" s="784"/>
      <c r="N1" s="784"/>
      <c r="O1" s="784"/>
      <c r="P1" s="784"/>
      <c r="Q1" s="784"/>
      <c r="R1" s="784"/>
      <c r="S1" s="785"/>
      <c r="T1" s="785"/>
    </row>
    <row r="2" spans="1:28" ht="20.25" customHeight="1">
      <c r="A2" s="787" t="s">
        <v>1</v>
      </c>
      <c r="B2" s="787" t="s">
        <v>2</v>
      </c>
      <c r="C2" s="787" t="s">
        <v>76</v>
      </c>
      <c r="D2" s="782" t="s">
        <v>175</v>
      </c>
      <c r="E2" s="782"/>
      <c r="F2" s="782"/>
      <c r="G2" s="782"/>
      <c r="H2" s="782"/>
      <c r="I2" s="782"/>
      <c r="J2" s="782" t="s">
        <v>176</v>
      </c>
      <c r="K2" s="782"/>
      <c r="L2" s="782"/>
      <c r="M2" s="782"/>
      <c r="N2" s="782"/>
      <c r="O2" s="782"/>
      <c r="P2" s="782"/>
      <c r="Q2" s="782"/>
      <c r="R2" s="782"/>
      <c r="S2" s="782"/>
      <c r="T2" s="782"/>
    </row>
    <row r="3" spans="1:28" ht="29.25" customHeight="1">
      <c r="A3" s="787"/>
      <c r="B3" s="787"/>
      <c r="C3" s="787"/>
      <c r="D3" s="89" t="s">
        <v>64</v>
      </c>
      <c r="E3" s="89" t="s">
        <v>65</v>
      </c>
      <c r="F3" s="89" t="s">
        <v>66</v>
      </c>
      <c r="G3" s="89" t="s">
        <v>67</v>
      </c>
      <c r="H3" s="89" t="s">
        <v>68</v>
      </c>
      <c r="I3" s="89" t="s">
        <v>69</v>
      </c>
      <c r="J3" s="89" t="s">
        <v>77</v>
      </c>
      <c r="K3" s="89" t="s">
        <v>78</v>
      </c>
      <c r="L3" s="89" t="s">
        <v>79</v>
      </c>
      <c r="M3" s="89" t="s">
        <v>80</v>
      </c>
      <c r="N3" s="89" t="s">
        <v>81</v>
      </c>
      <c r="O3" s="89" t="s">
        <v>82</v>
      </c>
      <c r="P3" s="89" t="s">
        <v>83</v>
      </c>
      <c r="Q3" s="89" t="s">
        <v>84</v>
      </c>
      <c r="R3" s="89" t="s">
        <v>85</v>
      </c>
      <c r="S3" s="89" t="s">
        <v>86</v>
      </c>
      <c r="T3" s="89" t="s">
        <v>87</v>
      </c>
      <c r="Z3" s="90">
        <v>2020</v>
      </c>
      <c r="AA3" s="90">
        <v>2025</v>
      </c>
      <c r="AB3" s="90">
        <v>2030</v>
      </c>
    </row>
    <row r="4" spans="1:28" s="150" customFormat="1" ht="24.95" customHeight="1">
      <c r="A4" s="104">
        <v>1</v>
      </c>
      <c r="B4" s="147" t="s">
        <v>40</v>
      </c>
      <c r="C4" s="148" t="s">
        <v>88</v>
      </c>
      <c r="D4" s="116">
        <v>145</v>
      </c>
      <c r="E4" s="116">
        <v>152</v>
      </c>
      <c r="F4" s="116">
        <v>162</v>
      </c>
      <c r="G4" s="116">
        <v>163</v>
      </c>
      <c r="H4" s="116">
        <v>171</v>
      </c>
      <c r="I4" s="116">
        <v>171</v>
      </c>
      <c r="J4" s="116">
        <v>182</v>
      </c>
      <c r="K4" s="116">
        <v>190</v>
      </c>
      <c r="L4" s="116">
        <v>194</v>
      </c>
      <c r="M4" s="116">
        <v>195</v>
      </c>
      <c r="N4" s="116">
        <v>202</v>
      </c>
      <c r="O4" s="116">
        <v>202</v>
      </c>
      <c r="P4" s="116">
        <v>203</v>
      </c>
      <c r="Q4" s="116">
        <v>204</v>
      </c>
      <c r="R4" s="116">
        <v>206</v>
      </c>
      <c r="S4" s="116">
        <v>214</v>
      </c>
      <c r="T4" s="116">
        <v>229</v>
      </c>
      <c r="U4" s="149"/>
      <c r="V4" s="150" t="s">
        <v>166</v>
      </c>
      <c r="X4" s="150">
        <f>236-171</f>
        <v>65</v>
      </c>
      <c r="Z4" s="150">
        <f>N5/N4*100</f>
        <v>60.396039603960396</v>
      </c>
      <c r="AA4" s="150">
        <f>S5/S4*100</f>
        <v>65.420560747663544</v>
      </c>
      <c r="AB4" s="150">
        <f>T5/T4*100</f>
        <v>70.3056768558952</v>
      </c>
    </row>
    <row r="5" spans="1:28" s="153" customFormat="1" ht="24.95" customHeight="1">
      <c r="A5" s="104"/>
      <c r="B5" s="151" t="s">
        <v>89</v>
      </c>
      <c r="C5" s="148" t="s">
        <v>90</v>
      </c>
      <c r="D5" s="121">
        <v>19</v>
      </c>
      <c r="E5" s="121">
        <v>32</v>
      </c>
      <c r="F5" s="121">
        <v>41</v>
      </c>
      <c r="G5" s="121">
        <v>50</v>
      </c>
      <c r="H5" s="121">
        <v>75</v>
      </c>
      <c r="I5" s="121">
        <v>76</v>
      </c>
      <c r="J5" s="121">
        <v>88</v>
      </c>
      <c r="K5" s="121">
        <v>97</v>
      </c>
      <c r="L5" s="121">
        <v>106</v>
      </c>
      <c r="M5" s="121">
        <v>115</v>
      </c>
      <c r="N5" s="616">
        <v>122</v>
      </c>
      <c r="O5" s="121">
        <v>125</v>
      </c>
      <c r="P5" s="121">
        <v>128</v>
      </c>
      <c r="Q5" s="121">
        <v>131</v>
      </c>
      <c r="R5" s="121">
        <v>136</v>
      </c>
      <c r="S5" s="616">
        <v>140</v>
      </c>
      <c r="T5" s="616">
        <v>161</v>
      </c>
      <c r="U5" s="152"/>
      <c r="Z5" s="617" t="s">
        <v>992</v>
      </c>
    </row>
    <row r="6" spans="1:28" s="153" customFormat="1" ht="24.95" customHeight="1">
      <c r="A6" s="104"/>
      <c r="B6" s="154" t="s">
        <v>585</v>
      </c>
      <c r="C6" s="148" t="s">
        <v>91</v>
      </c>
      <c r="D6" s="125">
        <v>781</v>
      </c>
      <c r="E6" s="125">
        <v>717</v>
      </c>
      <c r="F6" s="125">
        <v>710</v>
      </c>
      <c r="G6" s="125">
        <v>853</v>
      </c>
      <c r="H6" s="125">
        <v>840</v>
      </c>
      <c r="I6" s="125">
        <v>852</v>
      </c>
      <c r="J6" s="125">
        <v>852</v>
      </c>
      <c r="K6" s="125">
        <v>852</v>
      </c>
      <c r="L6" s="125">
        <v>852</v>
      </c>
      <c r="M6" s="125">
        <v>853</v>
      </c>
      <c r="N6" s="125">
        <v>853</v>
      </c>
      <c r="O6" s="125">
        <v>853</v>
      </c>
      <c r="P6" s="125">
        <v>853</v>
      </c>
      <c r="Q6" s="125">
        <v>853</v>
      </c>
      <c r="R6" s="125">
        <v>853</v>
      </c>
      <c r="S6" s="125">
        <v>853</v>
      </c>
      <c r="T6" s="125">
        <v>854</v>
      </c>
    </row>
    <row r="7" spans="1:28" s="153" customFormat="1" ht="24.95" customHeight="1">
      <c r="A7" s="104">
        <v>2</v>
      </c>
      <c r="B7" s="155" t="s">
        <v>92</v>
      </c>
      <c r="C7" s="104"/>
      <c r="D7" s="125"/>
      <c r="E7" s="125"/>
      <c r="F7" s="125"/>
      <c r="G7" s="125"/>
      <c r="H7" s="125"/>
      <c r="I7" s="125"/>
      <c r="J7" s="125">
        <f>J4-I4</f>
        <v>11</v>
      </c>
      <c r="K7" s="125">
        <f t="shared" ref="K7:S7" si="0">K4-J4</f>
        <v>8</v>
      </c>
      <c r="L7" s="125">
        <f t="shared" si="0"/>
        <v>4</v>
      </c>
      <c r="M7" s="125">
        <f t="shared" si="0"/>
        <v>1</v>
      </c>
      <c r="N7" s="125">
        <f t="shared" si="0"/>
        <v>7</v>
      </c>
      <c r="O7" s="125">
        <f t="shared" si="0"/>
        <v>0</v>
      </c>
      <c r="P7" s="125">
        <f t="shared" si="0"/>
        <v>1</v>
      </c>
      <c r="Q7" s="125">
        <f t="shared" si="0"/>
        <v>1</v>
      </c>
      <c r="R7" s="125">
        <f t="shared" si="0"/>
        <v>2</v>
      </c>
      <c r="S7" s="125">
        <f t="shared" si="0"/>
        <v>8</v>
      </c>
      <c r="T7" s="125"/>
    </row>
    <row r="8" spans="1:28" s="153" customFormat="1" ht="24.95" customHeight="1">
      <c r="A8" s="148" t="s">
        <v>586</v>
      </c>
      <c r="B8" s="151" t="s">
        <v>93</v>
      </c>
      <c r="C8" s="148" t="s">
        <v>94</v>
      </c>
      <c r="D8" s="127">
        <f>D9+D10</f>
        <v>63094.818949477594</v>
      </c>
      <c r="E8" s="127">
        <f t="shared" ref="E8:T8" si="1">E9+E10</f>
        <v>70716.146788990824</v>
      </c>
      <c r="F8" s="127">
        <f t="shared" si="1"/>
        <v>73914.193041526378</v>
      </c>
      <c r="G8" s="127">
        <f t="shared" si="1"/>
        <v>76659.662337662332</v>
      </c>
      <c r="H8" s="127">
        <f t="shared" si="1"/>
        <v>82514</v>
      </c>
      <c r="I8" s="127">
        <f t="shared" si="1"/>
        <v>82519</v>
      </c>
      <c r="J8" s="127">
        <f t="shared" si="1"/>
        <v>82457</v>
      </c>
      <c r="K8" s="127">
        <f t="shared" si="1"/>
        <v>86284.767399999997</v>
      </c>
      <c r="L8" s="127">
        <f t="shared" si="1"/>
        <v>87717.273799999995</v>
      </c>
      <c r="M8" s="127">
        <f t="shared" si="1"/>
        <v>89286.76019999999</v>
      </c>
      <c r="N8" s="127">
        <f t="shared" si="1"/>
        <v>90827.328599999993</v>
      </c>
      <c r="O8" s="127">
        <f t="shared" si="1"/>
        <v>92350.089599999992</v>
      </c>
      <c r="P8" s="127">
        <f t="shared" si="1"/>
        <v>93858.543799999985</v>
      </c>
      <c r="Q8" s="127">
        <f t="shared" si="1"/>
        <v>95351.016999999993</v>
      </c>
      <c r="R8" s="127">
        <f t="shared" si="1"/>
        <v>96832.227399999989</v>
      </c>
      <c r="S8" s="127">
        <f t="shared" si="1"/>
        <v>98356.510399999999</v>
      </c>
      <c r="T8" s="127">
        <f t="shared" si="1"/>
        <v>106436.80839999999</v>
      </c>
      <c r="U8" s="783" t="s">
        <v>155</v>
      </c>
    </row>
    <row r="9" spans="1:28" s="153" customFormat="1" ht="24.95" customHeight="1">
      <c r="A9" s="148"/>
      <c r="B9" s="151" t="s">
        <v>95</v>
      </c>
      <c r="C9" s="148" t="s">
        <v>90</v>
      </c>
      <c r="D9" s="125">
        <f>D22/D13*100</f>
        <v>29823.529411764706</v>
      </c>
      <c r="E9" s="125">
        <f>E22/E13*100</f>
        <v>34340</v>
      </c>
      <c r="F9" s="125">
        <f>F22/F13*100</f>
        <v>35206</v>
      </c>
      <c r="G9" s="125">
        <f>G22/G13*100</f>
        <v>37072</v>
      </c>
      <c r="H9" s="125">
        <v>41185</v>
      </c>
      <c r="I9" s="125">
        <v>39384</v>
      </c>
      <c r="J9" s="127">
        <v>39826</v>
      </c>
      <c r="K9" s="127">
        <v>44389.6011</v>
      </c>
      <c r="L9" s="127">
        <v>45126.560699999995</v>
      </c>
      <c r="M9" s="127">
        <v>45933.990299999998</v>
      </c>
      <c r="N9" s="127">
        <v>46726.5429</v>
      </c>
      <c r="O9" s="127">
        <v>47509.934399999998</v>
      </c>
      <c r="P9" s="127">
        <v>48285.965699999993</v>
      </c>
      <c r="Q9" s="127">
        <v>49053.775499999996</v>
      </c>
      <c r="R9" s="127">
        <v>49815.791099999995</v>
      </c>
      <c r="S9" s="127">
        <v>50599.965599999996</v>
      </c>
      <c r="T9" s="127">
        <v>54756.912599999996</v>
      </c>
      <c r="U9" s="783"/>
    </row>
    <row r="10" spans="1:28" s="153" customFormat="1" ht="24.95" customHeight="1">
      <c r="A10" s="148" t="s">
        <v>587</v>
      </c>
      <c r="B10" s="154" t="s">
        <v>96</v>
      </c>
      <c r="C10" s="148" t="s">
        <v>90</v>
      </c>
      <c r="D10" s="125">
        <f>D26/D14*100</f>
        <v>33271.289537712888</v>
      </c>
      <c r="E10" s="125">
        <f>E26/E14*100</f>
        <v>36376.146788990824</v>
      </c>
      <c r="F10" s="125">
        <f>F26/F14*100</f>
        <v>38708.193041526378</v>
      </c>
      <c r="G10" s="125">
        <f>G26/G14*100</f>
        <v>39587.662337662332</v>
      </c>
      <c r="H10" s="125">
        <v>41329</v>
      </c>
      <c r="I10" s="125">
        <v>43135</v>
      </c>
      <c r="J10" s="127">
        <v>42631</v>
      </c>
      <c r="K10" s="127">
        <v>41895.166299999997</v>
      </c>
      <c r="L10" s="127">
        <v>42590.713099999994</v>
      </c>
      <c r="M10" s="127">
        <v>43352.769899999999</v>
      </c>
      <c r="N10" s="127">
        <v>44100.785699999993</v>
      </c>
      <c r="O10" s="127">
        <v>44840.155199999994</v>
      </c>
      <c r="P10" s="127">
        <v>45572.578099999999</v>
      </c>
      <c r="Q10" s="127">
        <v>46297.241499999996</v>
      </c>
      <c r="R10" s="127">
        <v>47016.436299999994</v>
      </c>
      <c r="S10" s="127">
        <v>47756.544799999996</v>
      </c>
      <c r="T10" s="127">
        <v>51679.895799999998</v>
      </c>
      <c r="U10" s="783"/>
    </row>
    <row r="11" spans="1:28" s="153" customFormat="1" ht="24.95" customHeight="1">
      <c r="A11" s="148" t="s">
        <v>588</v>
      </c>
      <c r="B11" s="154" t="s">
        <v>97</v>
      </c>
      <c r="C11" s="148" t="s">
        <v>90</v>
      </c>
      <c r="D11" s="125">
        <f>D30/D15*100</f>
        <v>11925.263157894737</v>
      </c>
      <c r="E11" s="125">
        <f>E30/E15*100</f>
        <v>11804.102564102564</v>
      </c>
      <c r="F11" s="125">
        <f>F30/F15*100</f>
        <v>12948.875255623721</v>
      </c>
      <c r="G11" s="125">
        <f>G30/G15*100</f>
        <v>13016.326530612245</v>
      </c>
      <c r="H11" s="125">
        <v>13480</v>
      </c>
      <c r="I11" s="125">
        <v>13567</v>
      </c>
      <c r="J11" s="127">
        <v>14438</v>
      </c>
      <c r="K11" s="127">
        <v>13606.008</v>
      </c>
      <c r="L11" s="127">
        <v>13831.896000000001</v>
      </c>
      <c r="M11" s="127">
        <v>14079.384</v>
      </c>
      <c r="N11" s="127">
        <v>14322.312</v>
      </c>
      <c r="O11" s="127">
        <v>14562.432000000001</v>
      </c>
      <c r="P11" s="127">
        <v>14800.296</v>
      </c>
      <c r="Q11" s="127">
        <v>15035.64</v>
      </c>
      <c r="R11" s="127">
        <v>15269.208000000001</v>
      </c>
      <c r="S11" s="127">
        <v>15509.568000000001</v>
      </c>
      <c r="T11" s="127">
        <v>16783.727999999999</v>
      </c>
      <c r="U11" s="783"/>
    </row>
    <row r="12" spans="1:28" s="153" customFormat="1" ht="24.95" customHeight="1">
      <c r="A12" s="104">
        <v>3</v>
      </c>
      <c r="B12" s="101" t="s">
        <v>98</v>
      </c>
      <c r="C12" s="102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</row>
    <row r="13" spans="1:28" s="153" customFormat="1" ht="24.95" customHeight="1">
      <c r="A13" s="148" t="s">
        <v>589</v>
      </c>
      <c r="B13" s="100" t="s">
        <v>99</v>
      </c>
      <c r="C13" s="103" t="s">
        <v>100</v>
      </c>
      <c r="D13" s="128">
        <v>8.5</v>
      </c>
      <c r="E13" s="128">
        <v>8.5934769947582996</v>
      </c>
      <c r="F13" s="128">
        <v>12.10021019144464</v>
      </c>
      <c r="G13" s="128">
        <v>12.5</v>
      </c>
      <c r="H13" s="128">
        <v>14</v>
      </c>
      <c r="I13" s="128">
        <v>17.899999999999999</v>
      </c>
      <c r="J13" s="128">
        <v>18.3</v>
      </c>
      <c r="K13" s="128">
        <v>26.2</v>
      </c>
      <c r="L13" s="128">
        <v>34.1</v>
      </c>
      <c r="M13" s="128">
        <v>42</v>
      </c>
      <c r="N13" s="128">
        <v>50</v>
      </c>
      <c r="O13" s="128">
        <v>51</v>
      </c>
      <c r="P13" s="128">
        <v>52</v>
      </c>
      <c r="Q13" s="128">
        <v>53</v>
      </c>
      <c r="R13" s="128">
        <v>54</v>
      </c>
      <c r="S13" s="128">
        <v>55</v>
      </c>
      <c r="T13" s="127">
        <v>60</v>
      </c>
      <c r="U13" s="783" t="s">
        <v>153</v>
      </c>
      <c r="V13" s="156">
        <f>S13-N13</f>
        <v>5</v>
      </c>
    </row>
    <row r="14" spans="1:28" s="153" customFormat="1" ht="24.95" customHeight="1">
      <c r="A14" s="148" t="s">
        <v>590</v>
      </c>
      <c r="B14" s="100" t="s">
        <v>101</v>
      </c>
      <c r="C14" s="103" t="s">
        <v>100</v>
      </c>
      <c r="D14" s="128">
        <v>82.2</v>
      </c>
      <c r="E14" s="128">
        <v>87.2</v>
      </c>
      <c r="F14" s="128">
        <v>89.1</v>
      </c>
      <c r="G14" s="128">
        <v>92.4</v>
      </c>
      <c r="H14" s="128">
        <v>92.6</v>
      </c>
      <c r="I14" s="128">
        <v>96</v>
      </c>
      <c r="J14" s="128">
        <v>96.2</v>
      </c>
      <c r="K14" s="128">
        <v>96.65</v>
      </c>
      <c r="L14" s="128">
        <v>97.1</v>
      </c>
      <c r="M14" s="128">
        <v>97.55</v>
      </c>
      <c r="N14" s="128">
        <v>98</v>
      </c>
      <c r="O14" s="128">
        <v>98.45</v>
      </c>
      <c r="P14" s="128">
        <v>98.9</v>
      </c>
      <c r="Q14" s="128">
        <v>99.2</v>
      </c>
      <c r="R14" s="128">
        <v>99.4</v>
      </c>
      <c r="S14" s="128">
        <v>99.5</v>
      </c>
      <c r="T14" s="128">
        <v>99.8</v>
      </c>
      <c r="U14" s="783"/>
    </row>
    <row r="15" spans="1:28" s="153" customFormat="1" ht="24.95" customHeight="1">
      <c r="A15" s="148" t="s">
        <v>591</v>
      </c>
      <c r="B15" s="100" t="s">
        <v>102</v>
      </c>
      <c r="C15" s="103" t="s">
        <v>100</v>
      </c>
      <c r="D15" s="128">
        <v>95</v>
      </c>
      <c r="E15" s="128">
        <v>97.5</v>
      </c>
      <c r="F15" s="128">
        <v>97.8</v>
      </c>
      <c r="G15" s="128">
        <v>98</v>
      </c>
      <c r="H15" s="128">
        <v>98.2</v>
      </c>
      <c r="I15" s="128">
        <v>99.1</v>
      </c>
      <c r="J15" s="128">
        <v>99.2</v>
      </c>
      <c r="K15" s="128">
        <v>99.275000000000006</v>
      </c>
      <c r="L15" s="128">
        <v>99.35</v>
      </c>
      <c r="M15" s="128">
        <v>99.424999999999997</v>
      </c>
      <c r="N15" s="128">
        <v>99.575000000000003</v>
      </c>
      <c r="O15" s="128">
        <v>99.674999999999997</v>
      </c>
      <c r="P15" s="128">
        <v>99.75</v>
      </c>
      <c r="Q15" s="128">
        <v>99.825000000000003</v>
      </c>
      <c r="R15" s="128">
        <v>99.8</v>
      </c>
      <c r="S15" s="128">
        <v>99.875</v>
      </c>
      <c r="T15" s="128">
        <v>99.9</v>
      </c>
      <c r="U15" s="783"/>
    </row>
    <row r="16" spans="1:28" s="153" customFormat="1" ht="24.95" customHeight="1">
      <c r="A16" s="148" t="s">
        <v>592</v>
      </c>
      <c r="B16" s="100" t="s">
        <v>124</v>
      </c>
      <c r="C16" s="103" t="s">
        <v>100</v>
      </c>
      <c r="D16" s="130">
        <v>47.6</v>
      </c>
      <c r="E16" s="130">
        <v>48.7</v>
      </c>
      <c r="F16" s="130">
        <v>48.5</v>
      </c>
      <c r="G16" s="130">
        <v>47.9</v>
      </c>
      <c r="H16" s="130">
        <v>48.3</v>
      </c>
      <c r="I16" s="130">
        <v>48.5</v>
      </c>
      <c r="J16" s="130">
        <v>48.6</v>
      </c>
      <c r="K16" s="130">
        <v>48.7</v>
      </c>
      <c r="L16" s="130">
        <v>48.8</v>
      </c>
      <c r="M16" s="130">
        <v>48.9</v>
      </c>
      <c r="N16" s="130">
        <v>49</v>
      </c>
      <c r="O16" s="130">
        <v>49.1</v>
      </c>
      <c r="P16" s="130">
        <v>49.2</v>
      </c>
      <c r="Q16" s="130">
        <v>49.3</v>
      </c>
      <c r="R16" s="130">
        <v>49.4</v>
      </c>
      <c r="S16" s="130">
        <v>49.5</v>
      </c>
      <c r="T16" s="130">
        <v>50</v>
      </c>
      <c r="U16" s="783"/>
    </row>
    <row r="17" spans="1:25" s="153" customFormat="1" ht="24.95" customHeight="1">
      <c r="A17" s="148" t="s">
        <v>593</v>
      </c>
      <c r="B17" s="100" t="s">
        <v>125</v>
      </c>
      <c r="C17" s="103" t="s">
        <v>100</v>
      </c>
      <c r="D17" s="130">
        <v>80.900000000000006</v>
      </c>
      <c r="E17" s="130">
        <v>81.3</v>
      </c>
      <c r="F17" s="130">
        <v>81.7</v>
      </c>
      <c r="G17" s="130">
        <f>H17-0.17</f>
        <v>81.96</v>
      </c>
      <c r="H17" s="130">
        <f>I17-0.17</f>
        <v>82.13</v>
      </c>
      <c r="I17" s="130">
        <v>82.3</v>
      </c>
      <c r="J17" s="130">
        <f>I17+0.17</f>
        <v>82.47</v>
      </c>
      <c r="K17" s="130">
        <f t="shared" ref="K17:R17" si="2">J17+0.17</f>
        <v>82.64</v>
      </c>
      <c r="L17" s="130">
        <f t="shared" si="2"/>
        <v>82.81</v>
      </c>
      <c r="M17" s="130">
        <f t="shared" si="2"/>
        <v>82.98</v>
      </c>
      <c r="N17" s="130">
        <f t="shared" si="2"/>
        <v>83.15</v>
      </c>
      <c r="O17" s="130">
        <f t="shared" si="2"/>
        <v>83.320000000000007</v>
      </c>
      <c r="P17" s="130">
        <f t="shared" si="2"/>
        <v>83.490000000000009</v>
      </c>
      <c r="Q17" s="130">
        <f t="shared" si="2"/>
        <v>83.660000000000011</v>
      </c>
      <c r="R17" s="130">
        <f t="shared" si="2"/>
        <v>83.830000000000013</v>
      </c>
      <c r="S17" s="130">
        <v>84</v>
      </c>
      <c r="T17" s="130">
        <v>84.5</v>
      </c>
      <c r="U17" s="783"/>
    </row>
    <row r="18" spans="1:25" s="153" customFormat="1" ht="24.95" customHeight="1">
      <c r="A18" s="148" t="s">
        <v>594</v>
      </c>
      <c r="B18" s="100" t="s">
        <v>126</v>
      </c>
      <c r="C18" s="103" t="s">
        <v>100</v>
      </c>
      <c r="D18" s="130">
        <v>21.8</v>
      </c>
      <c r="E18" s="130">
        <v>24.9</v>
      </c>
      <c r="F18" s="130">
        <v>25.3</v>
      </c>
      <c r="G18" s="130">
        <f>F18+3.1</f>
        <v>28.400000000000002</v>
      </c>
      <c r="H18" s="130">
        <f>G18+3.1</f>
        <v>31.500000000000004</v>
      </c>
      <c r="I18" s="130">
        <f>H18+3.1</f>
        <v>34.6</v>
      </c>
      <c r="J18" s="130">
        <f>I18+3.1</f>
        <v>37.700000000000003</v>
      </c>
      <c r="K18" s="130">
        <f>J18+3.1</f>
        <v>40.800000000000004</v>
      </c>
      <c r="L18" s="130">
        <v>46.815692307692316</v>
      </c>
      <c r="M18" s="130">
        <v>47.107692307692311</v>
      </c>
      <c r="N18" s="130">
        <v>47.667692307692313</v>
      </c>
      <c r="O18" s="130">
        <v>47.567692307692312</v>
      </c>
      <c r="P18" s="130">
        <v>48.797692307692309</v>
      </c>
      <c r="Q18" s="130">
        <v>48.89769230769231</v>
      </c>
      <c r="R18" s="130">
        <v>49.297692307692309</v>
      </c>
      <c r="S18" s="130">
        <v>49.96769230769231</v>
      </c>
      <c r="T18" s="130">
        <v>55.167692307692299</v>
      </c>
      <c r="U18" s="783"/>
    </row>
    <row r="19" spans="1:25" s="153" customFormat="1" ht="24.95" customHeight="1">
      <c r="A19" s="148" t="s">
        <v>595</v>
      </c>
      <c r="B19" s="100" t="s">
        <v>127</v>
      </c>
      <c r="C19" s="103" t="s">
        <v>100</v>
      </c>
      <c r="D19" s="130">
        <v>5.8019267467486957</v>
      </c>
      <c r="E19" s="130">
        <v>5.5</v>
      </c>
      <c r="F19" s="130">
        <v>6.3</v>
      </c>
      <c r="G19" s="130">
        <v>5.9</v>
      </c>
      <c r="H19" s="130">
        <v>4.9000000000000004</v>
      </c>
      <c r="I19" s="130">
        <v>4.7</v>
      </c>
      <c r="J19" s="130">
        <v>4.4323076923076927</v>
      </c>
      <c r="K19" s="130">
        <v>4.3138461538461543</v>
      </c>
      <c r="L19" s="130">
        <v>4.2046153846153844</v>
      </c>
      <c r="M19" s="130">
        <v>4.1253846153846156</v>
      </c>
      <c r="N19" s="130">
        <v>4.0284615384615385</v>
      </c>
      <c r="O19" s="130">
        <v>3.9385871799180485</v>
      </c>
      <c r="P19" s="130">
        <v>3.85</v>
      </c>
      <c r="Q19" s="130">
        <v>3.7692307692307687</v>
      </c>
      <c r="R19" s="130">
        <v>3.74</v>
      </c>
      <c r="S19" s="130">
        <v>3.6592307692307693</v>
      </c>
      <c r="T19" s="130">
        <v>3.4746153846153844</v>
      </c>
      <c r="U19" s="783"/>
      <c r="V19" s="153">
        <f>T21/T4</f>
        <v>368.69294134672487</v>
      </c>
    </row>
    <row r="20" spans="1:25" s="153" customFormat="1" ht="24.95" customHeight="1">
      <c r="A20" s="148" t="s">
        <v>596</v>
      </c>
      <c r="B20" s="100" t="s">
        <v>128</v>
      </c>
      <c r="C20" s="103" t="s">
        <v>100</v>
      </c>
      <c r="D20" s="130">
        <v>6.992035964831663</v>
      </c>
      <c r="E20" s="130">
        <v>6</v>
      </c>
      <c r="F20" s="130">
        <v>7.4</v>
      </c>
      <c r="G20" s="130">
        <v>6.6</v>
      </c>
      <c r="H20" s="130">
        <v>5.6</v>
      </c>
      <c r="I20" s="130">
        <v>5.5</v>
      </c>
      <c r="J20" s="130">
        <v>4.7576923076923077</v>
      </c>
      <c r="K20" s="130">
        <v>4.7392307692307698</v>
      </c>
      <c r="L20" s="130">
        <v>4.5823076923076922</v>
      </c>
      <c r="M20" s="130">
        <v>4.5030769230769234</v>
      </c>
      <c r="N20" s="130">
        <v>4.4038461538461542</v>
      </c>
      <c r="O20" s="130">
        <v>4.3592318033168311</v>
      </c>
      <c r="P20" s="130">
        <v>4.2246153846153849</v>
      </c>
      <c r="Q20" s="130">
        <v>4.1538461538461542</v>
      </c>
      <c r="R20" s="130">
        <v>4.1146153846153855</v>
      </c>
      <c r="S20" s="130">
        <v>4.0438461538461539</v>
      </c>
      <c r="T20" s="130">
        <v>3.83</v>
      </c>
      <c r="U20" s="783"/>
      <c r="V20" s="153">
        <f>S21/S4</f>
        <v>352.09225773831776</v>
      </c>
    </row>
    <row r="21" spans="1:25" s="150" customFormat="1" ht="24.95" customHeight="1">
      <c r="A21" s="104">
        <v>4</v>
      </c>
      <c r="B21" s="147" t="s">
        <v>103</v>
      </c>
      <c r="C21" s="104" t="s">
        <v>94</v>
      </c>
      <c r="D21" s="133">
        <f>D22+D26</f>
        <v>29884</v>
      </c>
      <c r="E21" s="133">
        <f t="shared" ref="E21:S21" si="3">E22+E26</f>
        <v>34671</v>
      </c>
      <c r="F21" s="133">
        <f t="shared" si="3"/>
        <v>38749</v>
      </c>
      <c r="G21" s="133">
        <f t="shared" si="3"/>
        <v>41213</v>
      </c>
      <c r="H21" s="133">
        <f t="shared" si="3"/>
        <v>44037</v>
      </c>
      <c r="I21" s="133">
        <f t="shared" si="3"/>
        <v>47875</v>
      </c>
      <c r="J21" s="133">
        <f t="shared" si="3"/>
        <v>48688.158000000003</v>
      </c>
      <c r="K21" s="133">
        <f t="shared" si="3"/>
        <v>52121.753717149993</v>
      </c>
      <c r="L21" s="133">
        <f t="shared" si="3"/>
        <v>56743.739618799991</v>
      </c>
      <c r="M21" s="133">
        <f t="shared" si="3"/>
        <v>61582.902963450004</v>
      </c>
      <c r="N21" s="133">
        <f t="shared" si="3"/>
        <v>66582.041436</v>
      </c>
      <c r="O21" s="133">
        <f t="shared" si="3"/>
        <v>68375.199338399994</v>
      </c>
      <c r="P21" s="133">
        <f t="shared" si="3"/>
        <v>70179.981904899993</v>
      </c>
      <c r="Q21" s="133">
        <f t="shared" si="3"/>
        <v>71925.364583000002</v>
      </c>
      <c r="R21" s="133">
        <f t="shared" si="3"/>
        <v>73634.864876199994</v>
      </c>
      <c r="S21" s="133">
        <f t="shared" si="3"/>
        <v>75347.743155999997</v>
      </c>
      <c r="T21" s="133">
        <f>T22+T26</f>
        <v>84430.683568399996</v>
      </c>
      <c r="V21" s="150">
        <f>I21/I4</f>
        <v>279.97076023391816</v>
      </c>
    </row>
    <row r="22" spans="1:25" s="153" customFormat="1" ht="24.95" customHeight="1">
      <c r="A22" s="148" t="s">
        <v>599</v>
      </c>
      <c r="B22" s="154" t="s">
        <v>597</v>
      </c>
      <c r="C22" s="104" t="s">
        <v>90</v>
      </c>
      <c r="D22" s="125">
        <v>2535</v>
      </c>
      <c r="E22" s="125">
        <v>2951</v>
      </c>
      <c r="F22" s="125">
        <v>4260</v>
      </c>
      <c r="G22" s="125">
        <v>4634</v>
      </c>
      <c r="H22" s="125">
        <v>5766</v>
      </c>
      <c r="I22" s="125">
        <v>6503</v>
      </c>
      <c r="J22" s="125">
        <f>J13*J9/100</f>
        <v>7288.1580000000004</v>
      </c>
      <c r="K22" s="125">
        <f>K13*K9/100</f>
        <v>11630.075488199998</v>
      </c>
      <c r="L22" s="125">
        <f t="shared" ref="L22:S22" si="4">L13*L9/100</f>
        <v>15388.157198699999</v>
      </c>
      <c r="M22" s="125">
        <f t="shared" si="4"/>
        <v>19292.275925999998</v>
      </c>
      <c r="N22" s="125">
        <f t="shared" si="4"/>
        <v>23363.27145</v>
      </c>
      <c r="O22" s="125">
        <f t="shared" si="4"/>
        <v>24230.066543999998</v>
      </c>
      <c r="P22" s="125">
        <f t="shared" si="4"/>
        <v>25108.702163999998</v>
      </c>
      <c r="Q22" s="125">
        <f t="shared" si="4"/>
        <v>25998.501014999998</v>
      </c>
      <c r="R22" s="125">
        <f t="shared" si="4"/>
        <v>26900.527193999998</v>
      </c>
      <c r="S22" s="125">
        <f t="shared" si="4"/>
        <v>27829.981080000001</v>
      </c>
      <c r="T22" s="125">
        <f>T13*T9/100</f>
        <v>32854.147559999998</v>
      </c>
      <c r="U22" s="158" t="s">
        <v>154</v>
      </c>
    </row>
    <row r="23" spans="1:25" s="153" customFormat="1" ht="24.95" customHeight="1">
      <c r="A23" s="148"/>
      <c r="B23" s="157" t="s">
        <v>129</v>
      </c>
      <c r="C23" s="104" t="s">
        <v>90</v>
      </c>
      <c r="D23" s="125">
        <v>983</v>
      </c>
      <c r="E23" s="125">
        <v>1279</v>
      </c>
      <c r="F23" s="125">
        <v>1693</v>
      </c>
      <c r="G23" s="125">
        <v>2497</v>
      </c>
      <c r="H23" s="125">
        <v>3430</v>
      </c>
      <c r="I23" s="125">
        <v>4068</v>
      </c>
      <c r="J23" s="125">
        <f>J22*0.58</f>
        <v>4227.1316399999996</v>
      </c>
      <c r="K23" s="125">
        <f>K22*0.58</f>
        <v>6745.443783155999</v>
      </c>
      <c r="L23" s="125">
        <f>L22*0.58</f>
        <v>8925.1311752459987</v>
      </c>
      <c r="M23" s="125">
        <f>M22*0.58</f>
        <v>11189.520037079998</v>
      </c>
      <c r="N23" s="125">
        <f>N22*0.6</f>
        <v>14017.962869999999</v>
      </c>
      <c r="O23" s="125">
        <f t="shared" ref="O23:T23" si="5">O22*0.6</f>
        <v>14538.039926399999</v>
      </c>
      <c r="P23" s="125">
        <f t="shared" si="5"/>
        <v>15065.221298399998</v>
      </c>
      <c r="Q23" s="125">
        <f t="shared" si="5"/>
        <v>15599.100608999997</v>
      </c>
      <c r="R23" s="125">
        <f t="shared" si="5"/>
        <v>16140.316316399998</v>
      </c>
      <c r="S23" s="125">
        <f t="shared" si="5"/>
        <v>16697.988647999999</v>
      </c>
      <c r="T23" s="125">
        <f t="shared" si="5"/>
        <v>19712.488535999997</v>
      </c>
      <c r="U23" s="158" t="s">
        <v>169</v>
      </c>
    </row>
    <row r="24" spans="1:25" s="153" customFormat="1" ht="24.95" customHeight="1">
      <c r="A24" s="148"/>
      <c r="B24" s="154" t="s">
        <v>130</v>
      </c>
      <c r="C24" s="104" t="s">
        <v>90</v>
      </c>
      <c r="D24" s="125">
        <v>1877</v>
      </c>
      <c r="E24" s="125">
        <v>2150</v>
      </c>
      <c r="F24" s="125">
        <v>3424</v>
      </c>
      <c r="G24" s="125">
        <v>3957</v>
      </c>
      <c r="H24" s="125">
        <v>4938</v>
      </c>
      <c r="I24" s="125">
        <v>5876</v>
      </c>
      <c r="J24" s="125">
        <f>J22*0.88</f>
        <v>6413.5790400000005</v>
      </c>
      <c r="K24" s="125">
        <f>K22*0.88</f>
        <v>10234.466429615999</v>
      </c>
      <c r="L24" s="125">
        <f>L22*0.88</f>
        <v>13541.578334856</v>
      </c>
      <c r="M24" s="125">
        <f>M22*0.88</f>
        <v>16977.202814879998</v>
      </c>
      <c r="N24" s="125">
        <f t="shared" ref="N24:S24" si="6">N22*0.89</f>
        <v>20793.311590500001</v>
      </c>
      <c r="O24" s="125">
        <f t="shared" si="6"/>
        <v>21564.75922416</v>
      </c>
      <c r="P24" s="125">
        <f t="shared" si="6"/>
        <v>22346.74492596</v>
      </c>
      <c r="Q24" s="125">
        <f t="shared" si="6"/>
        <v>23138.66590335</v>
      </c>
      <c r="R24" s="125">
        <f t="shared" si="6"/>
        <v>23941.469202659999</v>
      </c>
      <c r="S24" s="125">
        <f t="shared" si="6"/>
        <v>24768.683161200002</v>
      </c>
      <c r="T24" s="125">
        <f>T22*0.9</f>
        <v>29568.732803999999</v>
      </c>
      <c r="U24" s="153" t="s">
        <v>152</v>
      </c>
    </row>
    <row r="25" spans="1:25" s="153" customFormat="1" ht="24.95" customHeight="1">
      <c r="A25" s="148"/>
      <c r="B25" s="154" t="s">
        <v>148</v>
      </c>
      <c r="C25" s="104" t="s">
        <v>90</v>
      </c>
      <c r="D25" s="125">
        <v>6</v>
      </c>
      <c r="E25" s="125">
        <v>12</v>
      </c>
      <c r="F25" s="125">
        <v>13</v>
      </c>
      <c r="G25" s="125">
        <v>19</v>
      </c>
      <c r="H25" s="125">
        <v>17</v>
      </c>
      <c r="I25" s="125">
        <v>11</v>
      </c>
      <c r="J25" s="125">
        <v>16</v>
      </c>
      <c r="K25" s="125">
        <v>20</v>
      </c>
      <c r="L25" s="125">
        <v>22</v>
      </c>
      <c r="M25" s="125">
        <v>22</v>
      </c>
      <c r="N25" s="125">
        <v>24</v>
      </c>
      <c r="O25" s="125">
        <v>26</v>
      </c>
      <c r="P25" s="125">
        <v>28</v>
      </c>
      <c r="Q25" s="125">
        <v>28</v>
      </c>
      <c r="R25" s="125">
        <v>30</v>
      </c>
      <c r="S25" s="125">
        <v>32</v>
      </c>
      <c r="T25" s="125">
        <v>36</v>
      </c>
    </row>
    <row r="26" spans="1:25" s="153" customFormat="1" ht="24.95" customHeight="1">
      <c r="A26" s="148" t="s">
        <v>600</v>
      </c>
      <c r="B26" s="154" t="s">
        <v>598</v>
      </c>
      <c r="C26" s="104" t="s">
        <v>90</v>
      </c>
      <c r="D26" s="125">
        <v>27349</v>
      </c>
      <c r="E26" s="125">
        <v>31720</v>
      </c>
      <c r="F26" s="125">
        <v>34489</v>
      </c>
      <c r="G26" s="125">
        <v>36579</v>
      </c>
      <c r="H26" s="125">
        <v>38271</v>
      </c>
      <c r="I26" s="125">
        <v>41372</v>
      </c>
      <c r="J26" s="125">
        <v>41400</v>
      </c>
      <c r="K26" s="125">
        <f t="shared" ref="K26:T26" si="7">K14*K10/100</f>
        <v>40491.678228949997</v>
      </c>
      <c r="L26" s="125">
        <f t="shared" si="7"/>
        <v>41355.582420099992</v>
      </c>
      <c r="M26" s="125">
        <f t="shared" si="7"/>
        <v>42290.627037450002</v>
      </c>
      <c r="N26" s="125">
        <f t="shared" si="7"/>
        <v>43218.769985999999</v>
      </c>
      <c r="O26" s="125">
        <f t="shared" si="7"/>
        <v>44145.1327944</v>
      </c>
      <c r="P26" s="125">
        <f t="shared" si="7"/>
        <v>45071.279740899998</v>
      </c>
      <c r="Q26" s="125">
        <f t="shared" si="7"/>
        <v>45926.863568000001</v>
      </c>
      <c r="R26" s="125">
        <f t="shared" si="7"/>
        <v>46734.337682199999</v>
      </c>
      <c r="S26" s="125">
        <f t="shared" si="7"/>
        <v>47517.762075999992</v>
      </c>
      <c r="T26" s="125">
        <f t="shared" si="7"/>
        <v>51576.536008399999</v>
      </c>
      <c r="U26" s="158" t="s">
        <v>154</v>
      </c>
    </row>
    <row r="27" spans="1:25" s="153" customFormat="1" ht="24.95" customHeight="1">
      <c r="A27" s="148"/>
      <c r="B27" s="157" t="s">
        <v>129</v>
      </c>
      <c r="C27" s="104" t="s">
        <v>90</v>
      </c>
      <c r="D27" s="125">
        <v>18416</v>
      </c>
      <c r="E27" s="125">
        <v>21565</v>
      </c>
      <c r="F27" s="125">
        <v>19926</v>
      </c>
      <c r="G27" s="125">
        <v>26543</v>
      </c>
      <c r="H27" s="125">
        <v>30489</v>
      </c>
      <c r="I27" s="125">
        <v>32342</v>
      </c>
      <c r="J27" s="125">
        <f>J26*0.77</f>
        <v>31878</v>
      </c>
      <c r="K27" s="125">
        <f>K26*0.77</f>
        <v>31178.592236291497</v>
      </c>
      <c r="L27" s="125">
        <f>L26*0.77</f>
        <v>31843.798463476996</v>
      </c>
      <c r="M27" s="125">
        <f>M26*0.77</f>
        <v>32563.782818836502</v>
      </c>
      <c r="N27" s="125">
        <f t="shared" ref="N27:S27" si="8">N26*0.8</f>
        <v>34575.015988799998</v>
      </c>
      <c r="O27" s="125">
        <f t="shared" si="8"/>
        <v>35316.106235520005</v>
      </c>
      <c r="P27" s="125">
        <f t="shared" si="8"/>
        <v>36057.02379272</v>
      </c>
      <c r="Q27" s="125">
        <f t="shared" si="8"/>
        <v>36741.490854399999</v>
      </c>
      <c r="R27" s="125">
        <f t="shared" si="8"/>
        <v>37387.470145760002</v>
      </c>
      <c r="S27" s="125">
        <f t="shared" si="8"/>
        <v>38014.209660799992</v>
      </c>
      <c r="T27" s="125">
        <f>T26*0.9</f>
        <v>46418.882407559999</v>
      </c>
      <c r="U27" s="158" t="s">
        <v>151</v>
      </c>
    </row>
    <row r="28" spans="1:25" s="153" customFormat="1" ht="24.95" customHeight="1">
      <c r="A28" s="148"/>
      <c r="B28" s="154" t="s">
        <v>130</v>
      </c>
      <c r="C28" s="104" t="s">
        <v>90</v>
      </c>
      <c r="D28" s="125">
        <v>9074</v>
      </c>
      <c r="E28" s="125">
        <v>11565</v>
      </c>
      <c r="F28" s="125">
        <v>24547</v>
      </c>
      <c r="G28" s="125">
        <v>26575</v>
      </c>
      <c r="H28" s="125">
        <v>36378</v>
      </c>
      <c r="I28" s="125">
        <v>38801</v>
      </c>
      <c r="J28" s="125">
        <f>J26*0.88</f>
        <v>36432</v>
      </c>
      <c r="K28" s="125">
        <f>K26*0.88</f>
        <v>35632.676841476001</v>
      </c>
      <c r="L28" s="125">
        <f>L26*0.88</f>
        <v>36392.912529687994</v>
      </c>
      <c r="M28" s="125">
        <f>M26*0.88</f>
        <v>37215.751792956005</v>
      </c>
      <c r="N28" s="125">
        <f t="shared" ref="N28:S28" si="9">N26*0.89</f>
        <v>38464.705287539997</v>
      </c>
      <c r="O28" s="125">
        <f t="shared" si="9"/>
        <v>39289.168187016003</v>
      </c>
      <c r="P28" s="125">
        <f t="shared" si="9"/>
        <v>40113.438969400995</v>
      </c>
      <c r="Q28" s="125">
        <f t="shared" si="9"/>
        <v>40874.908575519999</v>
      </c>
      <c r="R28" s="125">
        <f t="shared" si="9"/>
        <v>41593.560537158002</v>
      </c>
      <c r="S28" s="125">
        <f t="shared" si="9"/>
        <v>42290.808247639994</v>
      </c>
      <c r="T28" s="125">
        <f>T26*0.9</f>
        <v>46418.882407559999</v>
      </c>
      <c r="U28" s="153" t="s">
        <v>152</v>
      </c>
    </row>
    <row r="29" spans="1:25" s="153" customFormat="1" ht="24.95" customHeight="1">
      <c r="A29" s="148"/>
      <c r="B29" s="154" t="s">
        <v>148</v>
      </c>
      <c r="C29" s="104" t="s">
        <v>90</v>
      </c>
      <c r="D29" s="125">
        <v>40</v>
      </c>
      <c r="E29" s="125">
        <v>40</v>
      </c>
      <c r="F29" s="125">
        <v>45</v>
      </c>
      <c r="G29" s="125">
        <v>80</v>
      </c>
      <c r="H29" s="125">
        <v>102</v>
      </c>
      <c r="I29" s="125">
        <v>91</v>
      </c>
      <c r="J29" s="125">
        <v>86</v>
      </c>
      <c r="K29" s="125">
        <v>77</v>
      </c>
      <c r="L29" s="125">
        <v>82</v>
      </c>
      <c r="M29" s="125">
        <v>82</v>
      </c>
      <c r="N29" s="125">
        <v>86</v>
      </c>
      <c r="O29" s="125">
        <v>88</v>
      </c>
      <c r="P29" s="125">
        <v>92</v>
      </c>
      <c r="Q29" s="125">
        <v>93</v>
      </c>
      <c r="R29" s="125">
        <v>96</v>
      </c>
      <c r="S29" s="125">
        <v>98</v>
      </c>
      <c r="T29" s="125">
        <v>102</v>
      </c>
    </row>
    <row r="30" spans="1:25" s="153" customFormat="1" ht="24.95" customHeight="1">
      <c r="A30" s="148" t="s">
        <v>601</v>
      </c>
      <c r="B30" s="154" t="s">
        <v>602</v>
      </c>
      <c r="C30" s="104" t="s">
        <v>90</v>
      </c>
      <c r="D30" s="125">
        <v>11329</v>
      </c>
      <c r="E30" s="125">
        <v>11509</v>
      </c>
      <c r="F30" s="125">
        <v>12664</v>
      </c>
      <c r="G30" s="125">
        <v>12756</v>
      </c>
      <c r="H30" s="125">
        <v>13238</v>
      </c>
      <c r="I30" s="125">
        <v>13467</v>
      </c>
      <c r="J30" s="125">
        <f>J15*J11/100</f>
        <v>14322.496000000001</v>
      </c>
      <c r="K30" s="125">
        <f t="shared" ref="K30:T30" si="10">K15*K11/100</f>
        <v>13507.364442</v>
      </c>
      <c r="L30" s="125">
        <f t="shared" si="10"/>
        <v>13741.988676000001</v>
      </c>
      <c r="M30" s="125">
        <f t="shared" si="10"/>
        <v>13998.427541999998</v>
      </c>
      <c r="N30" s="125">
        <f t="shared" si="10"/>
        <v>14261.442174</v>
      </c>
      <c r="O30" s="125">
        <f t="shared" si="10"/>
        <v>14515.104096000001</v>
      </c>
      <c r="P30" s="125">
        <f t="shared" si="10"/>
        <v>14763.295260000001</v>
      </c>
      <c r="Q30" s="125">
        <f t="shared" si="10"/>
        <v>15009.32763</v>
      </c>
      <c r="R30" s="125">
        <f t="shared" si="10"/>
        <v>15238.669584000001</v>
      </c>
      <c r="S30" s="125">
        <f t="shared" si="10"/>
        <v>15490.181040000001</v>
      </c>
      <c r="T30" s="125">
        <f t="shared" si="10"/>
        <v>16766.944272000001</v>
      </c>
      <c r="U30" s="158" t="s">
        <v>154</v>
      </c>
    </row>
    <row r="31" spans="1:25" s="153" customFormat="1" ht="24.95" customHeight="1">
      <c r="A31" s="104"/>
      <c r="B31" s="157" t="s">
        <v>603</v>
      </c>
      <c r="C31" s="104" t="s">
        <v>90</v>
      </c>
      <c r="D31" s="125">
        <v>7820</v>
      </c>
      <c r="E31" s="125">
        <v>8690</v>
      </c>
      <c r="F31" s="125">
        <v>7993</v>
      </c>
      <c r="G31" s="125">
        <v>9188</v>
      </c>
      <c r="H31" s="125">
        <v>10637</v>
      </c>
      <c r="I31" s="125">
        <v>10745</v>
      </c>
      <c r="J31" s="125">
        <v>10371</v>
      </c>
      <c r="K31" s="125">
        <v>10556</v>
      </c>
      <c r="L31" s="125">
        <v>10740</v>
      </c>
      <c r="M31" s="125">
        <v>10940</v>
      </c>
      <c r="N31" s="125">
        <v>11137</v>
      </c>
      <c r="O31" s="125">
        <v>11332</v>
      </c>
      <c r="P31" s="125">
        <v>11526</v>
      </c>
      <c r="Q31" s="125">
        <v>11718</v>
      </c>
      <c r="R31" s="125">
        <v>11909</v>
      </c>
      <c r="S31" s="125">
        <v>12106</v>
      </c>
      <c r="T31" s="125">
        <v>13104</v>
      </c>
      <c r="U31" s="158" t="s">
        <v>151</v>
      </c>
      <c r="V31" s="159"/>
      <c r="W31" s="159"/>
      <c r="X31" s="160"/>
      <c r="Y31" s="159"/>
    </row>
    <row r="32" spans="1:25" s="153" customFormat="1" ht="24.95" customHeight="1">
      <c r="A32" s="104"/>
      <c r="B32" s="154" t="s">
        <v>604</v>
      </c>
      <c r="C32" s="104" t="s">
        <v>90</v>
      </c>
      <c r="D32" s="125">
        <v>5418</v>
      </c>
      <c r="E32" s="125">
        <v>7571</v>
      </c>
      <c r="F32" s="125">
        <v>9430</v>
      </c>
      <c r="G32" s="125">
        <v>11064</v>
      </c>
      <c r="H32" s="125">
        <v>13113</v>
      </c>
      <c r="I32" s="125">
        <v>13281</v>
      </c>
      <c r="J32" s="125">
        <v>13138.13267712</v>
      </c>
      <c r="K32" s="125">
        <v>13372.300797580001</v>
      </c>
      <c r="L32" s="125">
        <v>13604.57878924</v>
      </c>
      <c r="M32" s="125">
        <v>13858.453266579998</v>
      </c>
      <c r="N32" s="125">
        <v>14108.2034356</v>
      </c>
      <c r="O32" s="125">
        <v>14355.546247360002</v>
      </c>
      <c r="P32" s="125">
        <v>14601.020014360001</v>
      </c>
      <c r="Q32" s="125">
        <v>14844.359070099998</v>
      </c>
      <c r="R32" s="125">
        <v>15086.292888160002</v>
      </c>
      <c r="S32" s="125">
        <v>15335.289229600001</v>
      </c>
      <c r="T32" s="125">
        <v>16599.284829279997</v>
      </c>
      <c r="U32" s="159" t="s">
        <v>156</v>
      </c>
      <c r="V32" s="159"/>
      <c r="W32" s="159"/>
      <c r="X32" s="159"/>
      <c r="Y32" s="159"/>
    </row>
    <row r="33" spans="1:33" s="153" customFormat="1" ht="24.95" customHeight="1">
      <c r="A33" s="104"/>
      <c r="B33" s="154" t="s">
        <v>605</v>
      </c>
      <c r="C33" s="104" t="s">
        <v>90</v>
      </c>
      <c r="D33" s="125">
        <v>82</v>
      </c>
      <c r="E33" s="125">
        <v>16</v>
      </c>
      <c r="F33" s="125">
        <v>13</v>
      </c>
      <c r="G33" s="125">
        <v>24</v>
      </c>
      <c r="H33" s="125">
        <v>44</v>
      </c>
      <c r="I33" s="125">
        <v>36</v>
      </c>
      <c r="J33" s="125">
        <v>30</v>
      </c>
      <c r="K33" s="125">
        <v>39</v>
      </c>
      <c r="L33" s="125">
        <v>37</v>
      </c>
      <c r="M33" s="125">
        <v>33</v>
      </c>
      <c r="N33" s="125">
        <v>34</v>
      </c>
      <c r="O33" s="125">
        <v>34</v>
      </c>
      <c r="P33" s="125">
        <v>36</v>
      </c>
      <c r="Q33" s="125">
        <v>36</v>
      </c>
      <c r="R33" s="125">
        <v>37</v>
      </c>
      <c r="S33" s="125">
        <v>37</v>
      </c>
      <c r="T33" s="125">
        <v>39</v>
      </c>
      <c r="U33" s="159"/>
      <c r="V33" s="159"/>
      <c r="W33" s="159"/>
      <c r="X33" s="159"/>
      <c r="Y33" s="159"/>
    </row>
    <row r="34" spans="1:33" s="150" customFormat="1" ht="24.95" customHeight="1">
      <c r="A34" s="104">
        <v>5</v>
      </c>
      <c r="B34" s="147" t="s">
        <v>13</v>
      </c>
      <c r="C34" s="148" t="s">
        <v>131</v>
      </c>
      <c r="D34" s="133">
        <f>D35+D37</f>
        <v>1381</v>
      </c>
      <c r="E34" s="133">
        <f>E35+E37</f>
        <v>1688</v>
      </c>
      <c r="F34" s="133">
        <f>F35+F37</f>
        <v>1838</v>
      </c>
      <c r="G34" s="133">
        <f>G35+G37</f>
        <v>1927</v>
      </c>
      <c r="H34" s="133">
        <f>H35+H37</f>
        <v>1994</v>
      </c>
      <c r="I34" s="133">
        <f t="shared" ref="I34:T34" si="11">I35+I37</f>
        <v>2074</v>
      </c>
      <c r="J34" s="133">
        <f t="shared" si="11"/>
        <v>2102.0257291876428</v>
      </c>
      <c r="K34" s="133">
        <f t="shared" si="11"/>
        <v>2285.4097004270616</v>
      </c>
      <c r="L34" s="133">
        <f t="shared" si="11"/>
        <v>2499.7494001761252</v>
      </c>
      <c r="M34" s="133">
        <f t="shared" si="11"/>
        <v>2718.2057655357767</v>
      </c>
      <c r="N34" s="133">
        <f t="shared" si="11"/>
        <v>2945.0745059654173</v>
      </c>
      <c r="O34" s="133">
        <f t="shared" si="11"/>
        <v>3000.3802254998163</v>
      </c>
      <c r="P34" s="133">
        <f t="shared" si="11"/>
        <v>3048.6248919017276</v>
      </c>
      <c r="Q34" s="133">
        <f t="shared" si="11"/>
        <v>3113.7710333895825</v>
      </c>
      <c r="R34" s="133">
        <f t="shared" si="11"/>
        <v>3163.3879020785025</v>
      </c>
      <c r="S34" s="133">
        <f t="shared" si="11"/>
        <v>3226.7493420117307</v>
      </c>
      <c r="T34" s="133">
        <f t="shared" si="11"/>
        <v>3552.9494523851849</v>
      </c>
      <c r="U34" s="161"/>
      <c r="V34" s="161"/>
      <c r="W34" s="161"/>
      <c r="X34" s="161"/>
      <c r="Y34" s="161"/>
    </row>
    <row r="35" spans="1:33" s="150" customFormat="1" ht="24.95" customHeight="1">
      <c r="A35" s="148" t="s">
        <v>607</v>
      </c>
      <c r="B35" s="151" t="s">
        <v>606</v>
      </c>
      <c r="C35" s="148" t="s">
        <v>104</v>
      </c>
      <c r="D35" s="125">
        <v>143</v>
      </c>
      <c r="E35" s="125">
        <v>190</v>
      </c>
      <c r="F35" s="125">
        <v>252</v>
      </c>
      <c r="G35" s="125">
        <v>279</v>
      </c>
      <c r="H35" s="125">
        <v>323</v>
      </c>
      <c r="I35" s="125">
        <v>364</v>
      </c>
      <c r="J35" s="125">
        <f>J22/J36</f>
        <v>404.89766666666668</v>
      </c>
      <c r="K35" s="125">
        <f t="shared" ref="K35:S35" si="12">K22/K36</f>
        <v>639.01513671428563</v>
      </c>
      <c r="L35" s="125">
        <f t="shared" si="12"/>
        <v>831.79228101081071</v>
      </c>
      <c r="M35" s="125">
        <f t="shared" si="12"/>
        <v>1026.184889680851</v>
      </c>
      <c r="N35" s="125">
        <f t="shared" si="12"/>
        <v>1229.6458657894736</v>
      </c>
      <c r="O35" s="125">
        <f t="shared" si="12"/>
        <v>1261.9826324999999</v>
      </c>
      <c r="P35" s="125">
        <f t="shared" si="12"/>
        <v>1287.6257519999999</v>
      </c>
      <c r="Q35" s="125">
        <f t="shared" si="12"/>
        <v>1333.2564623076921</v>
      </c>
      <c r="R35" s="125">
        <f t="shared" si="12"/>
        <v>1365.5089946192893</v>
      </c>
      <c r="S35" s="125">
        <f t="shared" si="12"/>
        <v>1412.6893949238579</v>
      </c>
      <c r="T35" s="125">
        <f>T22/T36</f>
        <v>1642.7073779999998</v>
      </c>
      <c r="U35" s="159"/>
      <c r="V35" s="161"/>
      <c r="W35" s="161"/>
      <c r="X35" s="161"/>
      <c r="Y35" s="161"/>
    </row>
    <row r="36" spans="1:33" s="150" customFormat="1" ht="24.95" customHeight="1">
      <c r="A36" s="148"/>
      <c r="B36" s="151" t="s">
        <v>608</v>
      </c>
      <c r="C36" s="148"/>
      <c r="D36" s="130">
        <f t="shared" ref="D36:I36" si="13">D22/D35</f>
        <v>17.727272727272727</v>
      </c>
      <c r="E36" s="130">
        <f t="shared" si="13"/>
        <v>15.531578947368422</v>
      </c>
      <c r="F36" s="130">
        <f t="shared" si="13"/>
        <v>16.904761904761905</v>
      </c>
      <c r="G36" s="130">
        <f t="shared" si="13"/>
        <v>16.609318996415769</v>
      </c>
      <c r="H36" s="130">
        <f t="shared" si="13"/>
        <v>17.851393188854487</v>
      </c>
      <c r="I36" s="130">
        <f t="shared" si="13"/>
        <v>17.865384615384617</v>
      </c>
      <c r="J36" s="130">
        <v>18</v>
      </c>
      <c r="K36" s="130">
        <v>18.2</v>
      </c>
      <c r="L36" s="130">
        <v>18.5</v>
      </c>
      <c r="M36" s="130">
        <v>18.8</v>
      </c>
      <c r="N36" s="130">
        <v>19</v>
      </c>
      <c r="O36" s="130">
        <v>19.2</v>
      </c>
      <c r="P36" s="130">
        <v>19.5</v>
      </c>
      <c r="Q36" s="130">
        <v>19.5</v>
      </c>
      <c r="R36" s="130">
        <v>19.7</v>
      </c>
      <c r="S36" s="130">
        <v>19.7</v>
      </c>
      <c r="T36" s="130">
        <v>20</v>
      </c>
      <c r="U36" s="160"/>
      <c r="V36" s="161"/>
      <c r="W36" s="161"/>
      <c r="X36" s="161"/>
      <c r="Y36" s="161"/>
    </row>
    <row r="37" spans="1:33" s="150" customFormat="1" ht="24.95" customHeight="1">
      <c r="A37" s="148" t="s">
        <v>609</v>
      </c>
      <c r="B37" s="154" t="s">
        <v>19</v>
      </c>
      <c r="C37" s="148" t="s">
        <v>105</v>
      </c>
      <c r="D37" s="125">
        <v>1238</v>
      </c>
      <c r="E37" s="125">
        <v>1498</v>
      </c>
      <c r="F37" s="125">
        <v>1586</v>
      </c>
      <c r="G37" s="125">
        <v>1648</v>
      </c>
      <c r="H37" s="125">
        <v>1671</v>
      </c>
      <c r="I37" s="125">
        <v>1710</v>
      </c>
      <c r="J37" s="125">
        <f t="shared" ref="J37:S37" si="14">J26/J38</f>
        <v>1697.1280625209763</v>
      </c>
      <c r="K37" s="125">
        <f t="shared" si="14"/>
        <v>1646.3945637127758</v>
      </c>
      <c r="L37" s="125">
        <f t="shared" si="14"/>
        <v>1667.9571191653142</v>
      </c>
      <c r="M37" s="125">
        <f t="shared" si="14"/>
        <v>1692.0208758549254</v>
      </c>
      <c r="N37" s="125">
        <f t="shared" si="14"/>
        <v>1715.4286401759439</v>
      </c>
      <c r="O37" s="125">
        <f t="shared" si="14"/>
        <v>1738.3975929998162</v>
      </c>
      <c r="P37" s="125">
        <f t="shared" si="14"/>
        <v>1760.9991399017276</v>
      </c>
      <c r="Q37" s="125">
        <f t="shared" si="14"/>
        <v>1780.5145710818904</v>
      </c>
      <c r="R37" s="125">
        <f t="shared" si="14"/>
        <v>1797.878907459213</v>
      </c>
      <c r="S37" s="125">
        <f t="shared" si="14"/>
        <v>1814.0599470878731</v>
      </c>
      <c r="T37" s="125">
        <f>T26/T38</f>
        <v>1910.2420743851851</v>
      </c>
      <c r="U37" s="159"/>
      <c r="V37" s="161"/>
      <c r="W37" s="161"/>
      <c r="X37" s="161"/>
      <c r="Y37" s="161"/>
    </row>
    <row r="38" spans="1:33" s="150" customFormat="1" ht="24.95" customHeight="1">
      <c r="A38" s="148"/>
      <c r="B38" s="154" t="s">
        <v>167</v>
      </c>
      <c r="C38" s="148"/>
      <c r="D38" s="130">
        <f t="shared" ref="D38:I38" si="15">D26/D37</f>
        <v>22.091276252019387</v>
      </c>
      <c r="E38" s="130">
        <f t="shared" si="15"/>
        <v>21.174899866488651</v>
      </c>
      <c r="F38" s="130">
        <f t="shared" si="15"/>
        <v>21.745901639344261</v>
      </c>
      <c r="G38" s="130">
        <f t="shared" si="15"/>
        <v>22.195995145631066</v>
      </c>
      <c r="H38" s="130">
        <f t="shared" si="15"/>
        <v>22.903052064631957</v>
      </c>
      <c r="I38" s="130">
        <f t="shared" si="15"/>
        <v>24.194152046783625</v>
      </c>
      <c r="J38" s="130">
        <v>24.394152046783624</v>
      </c>
      <c r="K38" s="130">
        <v>24.594152046783623</v>
      </c>
      <c r="L38" s="130">
        <v>24.794152046783623</v>
      </c>
      <c r="M38" s="130">
        <v>24.994152046783622</v>
      </c>
      <c r="N38" s="130">
        <v>25.194152046783621</v>
      </c>
      <c r="O38" s="130">
        <v>25.394152046783621</v>
      </c>
      <c r="P38" s="130">
        <v>25.59415204678362</v>
      </c>
      <c r="Q38" s="130">
        <v>25.794152046783619</v>
      </c>
      <c r="R38" s="130">
        <v>25.994152046783618</v>
      </c>
      <c r="S38" s="130">
        <v>26.194152046783618</v>
      </c>
      <c r="T38" s="130">
        <v>27</v>
      </c>
      <c r="U38" s="160"/>
      <c r="V38" s="161"/>
      <c r="W38" s="161"/>
      <c r="X38" s="161"/>
      <c r="Y38" s="161"/>
    </row>
    <row r="39" spans="1:33" s="150" customFormat="1" ht="24.95" customHeight="1">
      <c r="A39" s="148" t="s">
        <v>610</v>
      </c>
      <c r="B39" s="154" t="s">
        <v>611</v>
      </c>
      <c r="C39" s="148" t="s">
        <v>105</v>
      </c>
      <c r="D39" s="125">
        <v>748</v>
      </c>
      <c r="E39" s="125">
        <v>739</v>
      </c>
      <c r="F39" s="125">
        <v>787</v>
      </c>
      <c r="G39" s="125">
        <v>922</v>
      </c>
      <c r="H39" s="125">
        <v>961</v>
      </c>
      <c r="I39" s="125">
        <v>924</v>
      </c>
      <c r="J39" s="125">
        <f>J30/J40</f>
        <v>976.00087791495207</v>
      </c>
      <c r="K39" s="125">
        <f t="shared" ref="K39:T39" si="16">K30/K40</f>
        <v>914.22411289412389</v>
      </c>
      <c r="L39" s="125">
        <f t="shared" si="16"/>
        <v>923.8513363181562</v>
      </c>
      <c r="M39" s="125">
        <f t="shared" si="16"/>
        <v>934.80674795889161</v>
      </c>
      <c r="N39" s="125">
        <f t="shared" si="16"/>
        <v>946.05302381908268</v>
      </c>
      <c r="O39" s="125">
        <f t="shared" si="16"/>
        <v>956.53473866404238</v>
      </c>
      <c r="P39" s="125">
        <f t="shared" si="16"/>
        <v>966.52105175360316</v>
      </c>
      <c r="Q39" s="125">
        <f t="shared" si="16"/>
        <v>976.23704650927084</v>
      </c>
      <c r="R39" s="125">
        <f t="shared" si="16"/>
        <v>984.7489051806474</v>
      </c>
      <c r="S39" s="125">
        <f t="shared" si="16"/>
        <v>994.57489270794281</v>
      </c>
      <c r="T39" s="125">
        <f t="shared" si="16"/>
        <v>1047.934017</v>
      </c>
      <c r="U39" s="159"/>
    </row>
    <row r="40" spans="1:33" s="150" customFormat="1" ht="24.95" customHeight="1">
      <c r="A40" s="104"/>
      <c r="B40" s="154" t="s">
        <v>167</v>
      </c>
      <c r="C40" s="148"/>
      <c r="D40" s="130">
        <f t="shared" ref="D40:I40" si="17">D30/D39</f>
        <v>15.145721925133691</v>
      </c>
      <c r="E40" s="130">
        <f t="shared" si="17"/>
        <v>15.573748308525033</v>
      </c>
      <c r="F40" s="130">
        <f t="shared" si="17"/>
        <v>16.091486658195681</v>
      </c>
      <c r="G40" s="130">
        <f t="shared" si="17"/>
        <v>13.835140997830802</v>
      </c>
      <c r="H40" s="130">
        <f t="shared" si="17"/>
        <v>13.775234131113423</v>
      </c>
      <c r="I40" s="130">
        <f t="shared" si="17"/>
        <v>14.574675324675324</v>
      </c>
      <c r="J40" s="130">
        <v>14.674675324675324</v>
      </c>
      <c r="K40" s="130">
        <v>14.774675324675323</v>
      </c>
      <c r="L40" s="130">
        <v>14.874675324675323</v>
      </c>
      <c r="M40" s="130">
        <v>14.974675324675323</v>
      </c>
      <c r="N40" s="130">
        <v>15.074675324675322</v>
      </c>
      <c r="O40" s="130">
        <v>15.174675324675322</v>
      </c>
      <c r="P40" s="130">
        <v>15.274675324675322</v>
      </c>
      <c r="Q40" s="130">
        <v>15.374675324675321</v>
      </c>
      <c r="R40" s="130">
        <v>15.474675324675321</v>
      </c>
      <c r="S40" s="130">
        <v>15.57467532467532</v>
      </c>
      <c r="T40" s="130">
        <v>16</v>
      </c>
      <c r="U40" s="160"/>
    </row>
    <row r="41" spans="1:33" s="150" customFormat="1" ht="24.95" customHeight="1">
      <c r="A41" s="104">
        <v>6</v>
      </c>
      <c r="B41" s="147" t="s">
        <v>157</v>
      </c>
      <c r="C41" s="148" t="s">
        <v>94</v>
      </c>
      <c r="D41" s="133">
        <f t="shared" ref="D41:T41" si="18">D42+D44+D51</f>
        <v>2755</v>
      </c>
      <c r="E41" s="133">
        <f t="shared" si="18"/>
        <v>2862</v>
      </c>
      <c r="F41" s="133">
        <f t="shared" si="18"/>
        <v>3234</v>
      </c>
      <c r="G41" s="133">
        <f t="shared" si="18"/>
        <v>3772</v>
      </c>
      <c r="H41" s="133">
        <f t="shared" si="18"/>
        <v>3910</v>
      </c>
      <c r="I41" s="133">
        <f t="shared" si="18"/>
        <v>4076</v>
      </c>
      <c r="J41" s="127">
        <f t="shared" si="18"/>
        <v>4645.6131667002292</v>
      </c>
      <c r="K41" s="127">
        <f t="shared" si="18"/>
        <v>4995.3955206832979</v>
      </c>
      <c r="L41" s="127">
        <f t="shared" si="18"/>
        <v>5616.497980299413</v>
      </c>
      <c r="M41" s="127">
        <f t="shared" si="18"/>
        <v>5994.9198014108206</v>
      </c>
      <c r="N41" s="127">
        <f t="shared" si="18"/>
        <v>6429.9186601412093</v>
      </c>
      <c r="O41" s="127">
        <f t="shared" si="18"/>
        <v>6823.9764058996698</v>
      </c>
      <c r="P41" s="127">
        <f t="shared" si="18"/>
        <v>6917.8628054231094</v>
      </c>
      <c r="Q41" s="127">
        <f t="shared" si="18"/>
        <v>7042.171860101249</v>
      </c>
      <c r="R41" s="127">
        <f t="shared" si="18"/>
        <v>7145.5742237413042</v>
      </c>
      <c r="S41" s="127">
        <f t="shared" si="18"/>
        <v>7638.667749822288</v>
      </c>
      <c r="T41" s="127">
        <f t="shared" si="18"/>
        <v>8719.4329047703704</v>
      </c>
    </row>
    <row r="42" spans="1:33" s="153" customFormat="1" ht="24.95" customHeight="1">
      <c r="A42" s="148" t="s">
        <v>612</v>
      </c>
      <c r="B42" s="151" t="s">
        <v>614</v>
      </c>
      <c r="C42" s="148" t="s">
        <v>90</v>
      </c>
      <c r="D42" s="125">
        <v>334</v>
      </c>
      <c r="E42" s="125">
        <v>343</v>
      </c>
      <c r="F42" s="125">
        <v>378</v>
      </c>
      <c r="G42" s="125">
        <v>434</v>
      </c>
      <c r="H42" s="125">
        <v>467</v>
      </c>
      <c r="I42" s="125">
        <v>493</v>
      </c>
      <c r="J42" s="125">
        <f t="shared" ref="J42:T42" si="19">2.9*J4</f>
        <v>527.79999999999995</v>
      </c>
      <c r="K42" s="125">
        <f t="shared" si="19"/>
        <v>551</v>
      </c>
      <c r="L42" s="125">
        <f t="shared" si="19"/>
        <v>562.6</v>
      </c>
      <c r="M42" s="125">
        <f t="shared" si="19"/>
        <v>565.5</v>
      </c>
      <c r="N42" s="125">
        <f t="shared" si="19"/>
        <v>585.79999999999995</v>
      </c>
      <c r="O42" s="125">
        <f t="shared" si="19"/>
        <v>585.79999999999995</v>
      </c>
      <c r="P42" s="125">
        <f t="shared" si="19"/>
        <v>588.69999999999993</v>
      </c>
      <c r="Q42" s="125">
        <f t="shared" si="19"/>
        <v>591.6</v>
      </c>
      <c r="R42" s="125">
        <f>2.9*R4</f>
        <v>597.4</v>
      </c>
      <c r="S42" s="125">
        <f t="shared" si="19"/>
        <v>620.6</v>
      </c>
      <c r="T42" s="125">
        <f t="shared" si="19"/>
        <v>664.1</v>
      </c>
      <c r="U42" s="158" t="s">
        <v>158</v>
      </c>
    </row>
    <row r="43" spans="1:33" s="153" customFormat="1" ht="24.95" customHeight="1">
      <c r="A43" s="148"/>
      <c r="B43" s="151" t="s">
        <v>133</v>
      </c>
      <c r="C43" s="148" t="s">
        <v>90</v>
      </c>
      <c r="D43" s="125">
        <v>198</v>
      </c>
      <c r="E43" s="125">
        <v>223</v>
      </c>
      <c r="F43" s="125">
        <v>251</v>
      </c>
      <c r="G43" s="125">
        <v>312</v>
      </c>
      <c r="H43" s="125">
        <v>390</v>
      </c>
      <c r="I43" s="125">
        <v>405</v>
      </c>
      <c r="J43" s="125">
        <f>J42*0.9</f>
        <v>475.02</v>
      </c>
      <c r="K43" s="125">
        <f>K42*0.9</f>
        <v>495.90000000000003</v>
      </c>
      <c r="L43" s="125">
        <f>L42*0.9</f>
        <v>506.34000000000003</v>
      </c>
      <c r="M43" s="125">
        <f>M42*0.9</f>
        <v>508.95</v>
      </c>
      <c r="N43" s="125">
        <f>N42*0.9</f>
        <v>527.22</v>
      </c>
      <c r="O43" s="125">
        <f t="shared" ref="O43:T43" si="20">O42*1</f>
        <v>585.79999999999995</v>
      </c>
      <c r="P43" s="125">
        <f t="shared" si="20"/>
        <v>588.69999999999993</v>
      </c>
      <c r="Q43" s="125">
        <f t="shared" si="20"/>
        <v>591.6</v>
      </c>
      <c r="R43" s="125">
        <f t="shared" si="20"/>
        <v>597.4</v>
      </c>
      <c r="S43" s="125">
        <f t="shared" si="20"/>
        <v>620.6</v>
      </c>
      <c r="T43" s="125">
        <f t="shared" si="20"/>
        <v>664.1</v>
      </c>
      <c r="U43" s="158" t="s">
        <v>159</v>
      </c>
      <c r="V43" s="158"/>
      <c r="W43" s="158"/>
      <c r="X43" s="158"/>
    </row>
    <row r="44" spans="1:33" s="153" customFormat="1" ht="24.95" customHeight="1">
      <c r="A44" s="148" t="s">
        <v>613</v>
      </c>
      <c r="B44" s="154" t="s">
        <v>615</v>
      </c>
      <c r="C44" s="148" t="s">
        <v>90</v>
      </c>
      <c r="D44" s="125">
        <v>2019</v>
      </c>
      <c r="E44" s="125">
        <v>2069</v>
      </c>
      <c r="F44" s="125">
        <v>2322</v>
      </c>
      <c r="G44" s="125">
        <v>2719</v>
      </c>
      <c r="H44" s="125">
        <v>2715</v>
      </c>
      <c r="I44" s="125">
        <v>2874</v>
      </c>
      <c r="J44" s="125">
        <f>J34*1.6</f>
        <v>3363.2411667002289</v>
      </c>
      <c r="K44" s="125">
        <f>K34*1.6</f>
        <v>3656.6555206832986</v>
      </c>
      <c r="L44" s="125">
        <f>L34*1.7</f>
        <v>4249.5739802994131</v>
      </c>
      <c r="M44" s="125">
        <f>M34*1.7</f>
        <v>4620.9498014108203</v>
      </c>
      <c r="N44" s="125">
        <f>N34*1.7</f>
        <v>5006.626660141209</v>
      </c>
      <c r="O44" s="125">
        <f>O34*1.8</f>
        <v>5400.6844058996694</v>
      </c>
      <c r="P44" s="125">
        <f>P34*1.8</f>
        <v>5487.5248054231097</v>
      </c>
      <c r="Q44" s="125">
        <f>Q34*1.8</f>
        <v>5604.787860101249</v>
      </c>
      <c r="R44" s="125">
        <f>R34*1.8</f>
        <v>5694.0982237413045</v>
      </c>
      <c r="S44" s="125">
        <f>S34*1.9</f>
        <v>6130.8237498222879</v>
      </c>
      <c r="T44" s="125">
        <f>T34*2</f>
        <v>7105.8989047703699</v>
      </c>
      <c r="U44" s="158" t="s">
        <v>160</v>
      </c>
      <c r="V44" s="158"/>
      <c r="W44" s="158"/>
      <c r="X44" s="158"/>
    </row>
    <row r="45" spans="1:33" s="153" customFormat="1" ht="24.95" customHeight="1">
      <c r="A45" s="104"/>
      <c r="B45" s="154" t="s">
        <v>658</v>
      </c>
      <c r="C45" s="148" t="s">
        <v>90</v>
      </c>
      <c r="D45" s="130">
        <f>D44/D34</f>
        <v>1.4619840695148443</v>
      </c>
      <c r="E45" s="130">
        <f t="shared" ref="E45:S45" si="21">E44/E34</f>
        <v>1.2257109004739337</v>
      </c>
      <c r="F45" s="130">
        <f t="shared" si="21"/>
        <v>1.2633297062023938</v>
      </c>
      <c r="G45" s="130">
        <f t="shared" si="21"/>
        <v>1.4110015568240788</v>
      </c>
      <c r="H45" s="130">
        <f t="shared" si="21"/>
        <v>1.3615847542627884</v>
      </c>
      <c r="I45" s="130">
        <f t="shared" si="21"/>
        <v>1.3857280617164898</v>
      </c>
      <c r="J45" s="130">
        <f t="shared" si="21"/>
        <v>1.6</v>
      </c>
      <c r="K45" s="130">
        <f t="shared" si="21"/>
        <v>1.6</v>
      </c>
      <c r="L45" s="130">
        <f t="shared" si="21"/>
        <v>1.7000000000000002</v>
      </c>
      <c r="M45" s="130">
        <f t="shared" si="21"/>
        <v>1.7</v>
      </c>
      <c r="N45" s="130">
        <f t="shared" si="21"/>
        <v>1.7</v>
      </c>
      <c r="O45" s="130">
        <f t="shared" si="21"/>
        <v>1.8</v>
      </c>
      <c r="P45" s="130">
        <f t="shared" si="21"/>
        <v>1.8</v>
      </c>
      <c r="Q45" s="130">
        <f t="shared" si="21"/>
        <v>1.8</v>
      </c>
      <c r="R45" s="130">
        <f t="shared" si="21"/>
        <v>1.8</v>
      </c>
      <c r="S45" s="130">
        <f t="shared" si="21"/>
        <v>1.9</v>
      </c>
      <c r="T45" s="130">
        <f>T44/T34</f>
        <v>2</v>
      </c>
      <c r="U45" s="158"/>
      <c r="V45" s="158"/>
      <c r="W45" s="158"/>
      <c r="X45" s="158"/>
    </row>
    <row r="46" spans="1:33" s="153" customFormat="1" ht="24.95" customHeight="1">
      <c r="A46" s="104"/>
      <c r="B46" s="154" t="s">
        <v>134</v>
      </c>
      <c r="C46" s="148" t="s">
        <v>90</v>
      </c>
      <c r="D46" s="127">
        <f t="shared" ref="D46:I46" si="22">SUM(D47:D50)</f>
        <v>2019</v>
      </c>
      <c r="E46" s="127">
        <f t="shared" si="22"/>
        <v>2069</v>
      </c>
      <c r="F46" s="127">
        <f t="shared" si="22"/>
        <v>2322</v>
      </c>
      <c r="G46" s="127">
        <f t="shared" si="22"/>
        <v>2719</v>
      </c>
      <c r="H46" s="127">
        <f t="shared" si="22"/>
        <v>2715</v>
      </c>
      <c r="I46" s="127">
        <f t="shared" si="22"/>
        <v>2874</v>
      </c>
      <c r="J46" s="127">
        <f t="shared" ref="J46:T46" si="23">SUM(J47:J50)</f>
        <v>3363.2411667002289</v>
      </c>
      <c r="K46" s="127">
        <f t="shared" si="23"/>
        <v>3656.6555206832986</v>
      </c>
      <c r="L46" s="127">
        <f t="shared" si="23"/>
        <v>4249.5739802994131</v>
      </c>
      <c r="M46" s="127">
        <f t="shared" si="23"/>
        <v>4620.9498014108194</v>
      </c>
      <c r="N46" s="127">
        <f t="shared" si="23"/>
        <v>5006.626660141208</v>
      </c>
      <c r="O46" s="127">
        <f t="shared" si="23"/>
        <v>5400.6844058996685</v>
      </c>
      <c r="P46" s="127">
        <f t="shared" si="23"/>
        <v>5487.5248054231106</v>
      </c>
      <c r="Q46" s="127">
        <f t="shared" si="23"/>
        <v>5604.787860101249</v>
      </c>
      <c r="R46" s="127">
        <f t="shared" si="23"/>
        <v>5694.0982237413045</v>
      </c>
      <c r="S46" s="127">
        <f t="shared" si="23"/>
        <v>6130.8237498222879</v>
      </c>
      <c r="T46" s="127">
        <f t="shared" si="23"/>
        <v>7105.8989047703699</v>
      </c>
      <c r="U46" s="158"/>
      <c r="V46" s="158"/>
      <c r="W46" s="158"/>
      <c r="X46" s="158"/>
    </row>
    <row r="47" spans="1:33" s="153" customFormat="1" ht="24.95" customHeight="1">
      <c r="A47" s="104"/>
      <c r="B47" s="269" t="s">
        <v>619</v>
      </c>
      <c r="C47" s="148" t="s">
        <v>90</v>
      </c>
      <c r="D47" s="125"/>
      <c r="E47" s="125">
        <v>1</v>
      </c>
      <c r="F47" s="125">
        <v>1</v>
      </c>
      <c r="G47" s="125">
        <v>1</v>
      </c>
      <c r="H47" s="125">
        <v>1</v>
      </c>
      <c r="I47" s="125">
        <v>1</v>
      </c>
      <c r="J47" s="125">
        <f>$J$44*W47/100</f>
        <v>1.3452964666800915</v>
      </c>
      <c r="K47" s="125">
        <f t="shared" ref="K47:L50" si="24">K$44*X47/100</f>
        <v>1.4626622082733194</v>
      </c>
      <c r="L47" s="125">
        <f t="shared" si="24"/>
        <v>2.1247869901497065</v>
      </c>
      <c r="M47" s="125">
        <f t="shared" ref="M47:T50" si="25">M$44*Z47/100</f>
        <v>2.31047490070541</v>
      </c>
      <c r="N47" s="125">
        <f t="shared" si="25"/>
        <v>3.0039759960847254</v>
      </c>
      <c r="O47" s="125">
        <f t="shared" si="25"/>
        <v>3.2404106435398017</v>
      </c>
      <c r="P47" s="125">
        <f t="shared" si="25"/>
        <v>3.8412673637961774</v>
      </c>
      <c r="Q47" s="125">
        <f t="shared" si="25"/>
        <v>3.9233515020708745</v>
      </c>
      <c r="R47" s="125">
        <f t="shared" si="25"/>
        <v>4.5552785789930432</v>
      </c>
      <c r="S47" s="125">
        <f t="shared" si="25"/>
        <v>4.9046589998578307</v>
      </c>
      <c r="T47" s="125">
        <f t="shared" si="25"/>
        <v>14.211797809540739</v>
      </c>
      <c r="U47" s="158"/>
      <c r="V47" s="158"/>
      <c r="W47" s="162">
        <v>0.04</v>
      </c>
      <c r="X47" s="162">
        <v>0.04</v>
      </c>
      <c r="Y47" s="163">
        <v>0.05</v>
      </c>
      <c r="Z47" s="163">
        <v>0.05</v>
      </c>
      <c r="AA47" s="163">
        <v>0.06</v>
      </c>
      <c r="AB47" s="163">
        <v>0.06</v>
      </c>
      <c r="AC47" s="163">
        <v>7.0000000000000007E-2</v>
      </c>
      <c r="AD47" s="163">
        <v>7.0000000000000007E-2</v>
      </c>
      <c r="AE47" s="163">
        <v>0.08</v>
      </c>
      <c r="AF47" s="163">
        <v>0.08</v>
      </c>
      <c r="AG47" s="163">
        <v>0.2</v>
      </c>
    </row>
    <row r="48" spans="1:33" s="153" customFormat="1" ht="24.95" customHeight="1">
      <c r="A48" s="104"/>
      <c r="B48" s="269" t="s">
        <v>616</v>
      </c>
      <c r="C48" s="148" t="s">
        <v>90</v>
      </c>
      <c r="D48" s="125">
        <v>274</v>
      </c>
      <c r="E48" s="125">
        <v>247</v>
      </c>
      <c r="F48" s="125">
        <v>359</v>
      </c>
      <c r="G48" s="125">
        <v>726</v>
      </c>
      <c r="H48" s="125">
        <v>813</v>
      </c>
      <c r="I48" s="125">
        <v>977</v>
      </c>
      <c r="J48" s="125">
        <f>$J$44*W48/100</f>
        <v>1210.7668200120825</v>
      </c>
      <c r="K48" s="125">
        <f t="shared" si="24"/>
        <v>1426.0956530664864</v>
      </c>
      <c r="L48" s="125">
        <f t="shared" si="24"/>
        <v>1827.3168115287474</v>
      </c>
      <c r="M48" s="125">
        <f t="shared" si="25"/>
        <v>2171.8464066630854</v>
      </c>
      <c r="N48" s="125">
        <f t="shared" si="25"/>
        <v>2553.3795966720163</v>
      </c>
      <c r="O48" s="125">
        <f t="shared" si="25"/>
        <v>3024.3832673038146</v>
      </c>
      <c r="P48" s="125">
        <f t="shared" si="25"/>
        <v>3402.2653793623281</v>
      </c>
      <c r="Q48" s="125">
        <f t="shared" si="25"/>
        <v>3811.2557448688494</v>
      </c>
      <c r="R48" s="125">
        <f t="shared" si="25"/>
        <v>4270.5736678059784</v>
      </c>
      <c r="S48" s="125">
        <f t="shared" si="25"/>
        <v>4904.6589998578302</v>
      </c>
      <c r="T48" s="125">
        <f t="shared" si="25"/>
        <v>6111.0730581025182</v>
      </c>
      <c r="U48" s="158"/>
      <c r="V48" s="158"/>
      <c r="W48" s="162">
        <v>36</v>
      </c>
      <c r="X48" s="162">
        <v>39</v>
      </c>
      <c r="Y48" s="163">
        <v>43</v>
      </c>
      <c r="Z48" s="163">
        <v>47</v>
      </c>
      <c r="AA48" s="163">
        <v>51</v>
      </c>
      <c r="AB48" s="163">
        <v>56</v>
      </c>
      <c r="AC48" s="163">
        <v>62</v>
      </c>
      <c r="AD48" s="163">
        <v>68</v>
      </c>
      <c r="AE48" s="163">
        <v>75</v>
      </c>
      <c r="AF48" s="163">
        <v>80</v>
      </c>
      <c r="AG48" s="163">
        <v>86</v>
      </c>
    </row>
    <row r="49" spans="1:33" s="153" customFormat="1" ht="24.95" customHeight="1">
      <c r="A49" s="104"/>
      <c r="B49" s="269" t="s">
        <v>617</v>
      </c>
      <c r="C49" s="148" t="s">
        <v>90</v>
      </c>
      <c r="D49" s="125">
        <v>896</v>
      </c>
      <c r="E49" s="125">
        <v>964</v>
      </c>
      <c r="F49" s="125">
        <v>932</v>
      </c>
      <c r="G49" s="125">
        <v>879</v>
      </c>
      <c r="H49" s="125">
        <v>869</v>
      </c>
      <c r="I49" s="125">
        <v>924</v>
      </c>
      <c r="J49" s="125">
        <f>$J$44*W49/100</f>
        <v>1042.6047616770709</v>
      </c>
      <c r="K49" s="125">
        <f t="shared" si="24"/>
        <v>1060.4301009981566</v>
      </c>
      <c r="L49" s="125">
        <f t="shared" si="24"/>
        <v>1147.3849746808417</v>
      </c>
      <c r="M49" s="125">
        <f t="shared" si="25"/>
        <v>1155.2374503527051</v>
      </c>
      <c r="N49" s="125">
        <f t="shared" si="25"/>
        <v>1151.5241318324779</v>
      </c>
      <c r="O49" s="125">
        <f t="shared" si="25"/>
        <v>1134.1437252389305</v>
      </c>
      <c r="P49" s="125">
        <f t="shared" si="25"/>
        <v>1042.6297130303908</v>
      </c>
      <c r="Q49" s="125">
        <f t="shared" si="25"/>
        <v>952.81393621721236</v>
      </c>
      <c r="R49" s="125">
        <f t="shared" si="25"/>
        <v>854.11473356119564</v>
      </c>
      <c r="S49" s="125">
        <f t="shared" si="25"/>
        <v>797.00708747689748</v>
      </c>
      <c r="T49" s="125">
        <f t="shared" si="25"/>
        <v>781.64887952474066</v>
      </c>
      <c r="U49" s="158"/>
      <c r="V49" s="158"/>
      <c r="W49" s="162">
        <v>31</v>
      </c>
      <c r="X49" s="162">
        <v>29</v>
      </c>
      <c r="Y49" s="163">
        <v>27</v>
      </c>
      <c r="Z49" s="163">
        <v>25</v>
      </c>
      <c r="AA49" s="163">
        <v>23</v>
      </c>
      <c r="AB49" s="163">
        <v>21</v>
      </c>
      <c r="AC49" s="163">
        <v>19</v>
      </c>
      <c r="AD49" s="163">
        <v>17</v>
      </c>
      <c r="AE49" s="163">
        <v>15</v>
      </c>
      <c r="AF49" s="163">
        <v>13</v>
      </c>
      <c r="AG49" s="163">
        <v>11</v>
      </c>
    </row>
    <row r="50" spans="1:33" s="153" customFormat="1" ht="24.95" customHeight="1">
      <c r="A50" s="104"/>
      <c r="B50" s="269" t="s">
        <v>618</v>
      </c>
      <c r="C50" s="148" t="s">
        <v>90</v>
      </c>
      <c r="D50" s="125">
        <v>849</v>
      </c>
      <c r="E50" s="125">
        <v>857</v>
      </c>
      <c r="F50" s="125">
        <v>1030</v>
      </c>
      <c r="G50" s="125">
        <v>1113</v>
      </c>
      <c r="H50" s="125">
        <v>1032</v>
      </c>
      <c r="I50" s="125">
        <v>972</v>
      </c>
      <c r="J50" s="125">
        <f>$J$44*W50/100</f>
        <v>1108.5242885443956</v>
      </c>
      <c r="K50" s="125">
        <f t="shared" si="24"/>
        <v>1168.6671044103823</v>
      </c>
      <c r="L50" s="125">
        <f t="shared" si="24"/>
        <v>1272.7474070996741</v>
      </c>
      <c r="M50" s="125">
        <f t="shared" si="25"/>
        <v>1291.5554694943241</v>
      </c>
      <c r="N50" s="125">
        <f t="shared" si="25"/>
        <v>1298.7189556406297</v>
      </c>
      <c r="O50" s="125">
        <f t="shared" si="25"/>
        <v>1238.9170027133844</v>
      </c>
      <c r="P50" s="125">
        <f t="shared" si="25"/>
        <v>1038.7884456665947</v>
      </c>
      <c r="Q50" s="125">
        <f t="shared" si="25"/>
        <v>836.7948275131165</v>
      </c>
      <c r="R50" s="125">
        <f t="shared" si="25"/>
        <v>564.85454379513749</v>
      </c>
      <c r="S50" s="125">
        <f t="shared" si="25"/>
        <v>424.2530034877023</v>
      </c>
      <c r="T50" s="125">
        <f t="shared" si="25"/>
        <v>198.96516933357034</v>
      </c>
      <c r="U50" s="158"/>
      <c r="V50" s="158"/>
      <c r="W50" s="162">
        <v>32.96</v>
      </c>
      <c r="X50" s="162">
        <v>31.96</v>
      </c>
      <c r="Y50" s="163">
        <v>29.95</v>
      </c>
      <c r="Z50" s="163">
        <v>27.95</v>
      </c>
      <c r="AA50" s="163">
        <v>25.94</v>
      </c>
      <c r="AB50" s="163">
        <v>22.94</v>
      </c>
      <c r="AC50" s="163">
        <v>18.93</v>
      </c>
      <c r="AD50" s="163">
        <v>14.93</v>
      </c>
      <c r="AE50" s="163">
        <v>9.92</v>
      </c>
      <c r="AF50" s="163">
        <v>6.92</v>
      </c>
      <c r="AG50" s="163">
        <v>2.8</v>
      </c>
    </row>
    <row r="51" spans="1:33" s="153" customFormat="1" ht="24.95" customHeight="1">
      <c r="A51" s="148" t="s">
        <v>620</v>
      </c>
      <c r="B51" s="154" t="s">
        <v>621</v>
      </c>
      <c r="C51" s="148" t="s">
        <v>90</v>
      </c>
      <c r="D51" s="127">
        <v>402</v>
      </c>
      <c r="E51" s="127">
        <v>450</v>
      </c>
      <c r="F51" s="127">
        <v>534</v>
      </c>
      <c r="G51" s="127">
        <v>619</v>
      </c>
      <c r="H51" s="127">
        <v>728</v>
      </c>
      <c r="I51" s="127">
        <v>709</v>
      </c>
      <c r="J51" s="127">
        <f t="shared" ref="J51:T51" si="26">SUM(J52:J58)</f>
        <v>754.57200000000012</v>
      </c>
      <c r="K51" s="127">
        <f t="shared" si="26"/>
        <v>787.74</v>
      </c>
      <c r="L51" s="127">
        <f t="shared" si="26"/>
        <v>804.32399999999996</v>
      </c>
      <c r="M51" s="127">
        <f t="shared" si="26"/>
        <v>808.47</v>
      </c>
      <c r="N51" s="127">
        <f t="shared" si="26"/>
        <v>837.49199999999996</v>
      </c>
      <c r="O51" s="127">
        <f t="shared" si="26"/>
        <v>837.49199999999996</v>
      </c>
      <c r="P51" s="127">
        <f t="shared" si="26"/>
        <v>841.63799999999992</v>
      </c>
      <c r="Q51" s="127">
        <f t="shared" si="26"/>
        <v>845.78399999999999</v>
      </c>
      <c r="R51" s="127">
        <f t="shared" si="26"/>
        <v>854.07600000000002</v>
      </c>
      <c r="S51" s="127">
        <f t="shared" si="26"/>
        <v>887.24399999999991</v>
      </c>
      <c r="T51" s="127">
        <f t="shared" si="26"/>
        <v>949.43399999999986</v>
      </c>
      <c r="U51" s="158"/>
      <c r="V51" s="158"/>
      <c r="W51" s="158"/>
      <c r="X51" s="158"/>
    </row>
    <row r="52" spans="1:33" s="153" customFormat="1" ht="24.95" customHeight="1">
      <c r="A52" s="104"/>
      <c r="B52" s="154" t="s">
        <v>622</v>
      </c>
      <c r="C52" s="148"/>
      <c r="D52" s="125">
        <v>131</v>
      </c>
      <c r="E52" s="125">
        <v>141</v>
      </c>
      <c r="F52" s="125">
        <v>151</v>
      </c>
      <c r="G52" s="125">
        <v>162</v>
      </c>
      <c r="H52" s="125">
        <v>163</v>
      </c>
      <c r="I52" s="125">
        <v>160</v>
      </c>
      <c r="J52" s="125">
        <f>93.6*J4/100</f>
        <v>170.352</v>
      </c>
      <c r="K52" s="125">
        <f t="shared" ref="K52:T52" si="27">93.6*K4/100</f>
        <v>177.84</v>
      </c>
      <c r="L52" s="125">
        <f t="shared" si="27"/>
        <v>181.58399999999997</v>
      </c>
      <c r="M52" s="125">
        <f>93.6*M4/100</f>
        <v>182.52</v>
      </c>
      <c r="N52" s="125">
        <f t="shared" si="27"/>
        <v>189.07199999999997</v>
      </c>
      <c r="O52" s="125">
        <f t="shared" si="27"/>
        <v>189.07199999999997</v>
      </c>
      <c r="P52" s="125">
        <f t="shared" si="27"/>
        <v>190.00799999999998</v>
      </c>
      <c r="Q52" s="125">
        <f t="shared" si="27"/>
        <v>190.94399999999999</v>
      </c>
      <c r="R52" s="125">
        <f t="shared" si="27"/>
        <v>192.81599999999997</v>
      </c>
      <c r="S52" s="125">
        <f t="shared" si="27"/>
        <v>200.30399999999997</v>
      </c>
      <c r="T52" s="125">
        <f t="shared" si="27"/>
        <v>214.34399999999997</v>
      </c>
      <c r="U52" s="158" t="s">
        <v>161</v>
      </c>
      <c r="V52" s="158"/>
      <c r="W52" s="158"/>
      <c r="X52" s="158"/>
    </row>
    <row r="53" spans="1:33" s="153" customFormat="1" ht="24.95" customHeight="1">
      <c r="A53" s="104"/>
      <c r="B53" s="269" t="s">
        <v>138</v>
      </c>
      <c r="C53" s="148"/>
      <c r="D53" s="125">
        <v>45</v>
      </c>
      <c r="E53" s="125">
        <v>49</v>
      </c>
      <c r="F53" s="125">
        <v>71</v>
      </c>
      <c r="G53" s="125">
        <v>89</v>
      </c>
      <c r="H53" s="125">
        <v>114</v>
      </c>
      <c r="I53" s="125">
        <v>110</v>
      </c>
      <c r="J53" s="125">
        <f>64.3*J4/100</f>
        <v>117.02600000000001</v>
      </c>
      <c r="K53" s="125">
        <f t="shared" ref="K53:T53" si="28">64.3*K4/100</f>
        <v>122.17</v>
      </c>
      <c r="L53" s="125">
        <f t="shared" si="28"/>
        <v>124.74199999999999</v>
      </c>
      <c r="M53" s="125">
        <f t="shared" si="28"/>
        <v>125.38500000000001</v>
      </c>
      <c r="N53" s="125">
        <f t="shared" si="28"/>
        <v>129.886</v>
      </c>
      <c r="O53" s="125">
        <f t="shared" si="28"/>
        <v>129.886</v>
      </c>
      <c r="P53" s="125">
        <f t="shared" si="28"/>
        <v>130.529</v>
      </c>
      <c r="Q53" s="125">
        <f t="shared" si="28"/>
        <v>131.172</v>
      </c>
      <c r="R53" s="125">
        <f t="shared" si="28"/>
        <v>132.458</v>
      </c>
      <c r="S53" s="125">
        <f t="shared" si="28"/>
        <v>137.60199999999998</v>
      </c>
      <c r="T53" s="125">
        <f t="shared" si="28"/>
        <v>147.24699999999999</v>
      </c>
      <c r="U53" s="158" t="s">
        <v>162</v>
      </c>
      <c r="V53" s="158"/>
      <c r="W53" s="158"/>
      <c r="X53" s="158"/>
    </row>
    <row r="54" spans="1:33" s="153" customFormat="1" ht="24.95" customHeight="1">
      <c r="A54" s="104"/>
      <c r="B54" s="269" t="s">
        <v>139</v>
      </c>
      <c r="C54" s="148"/>
      <c r="D54" s="125"/>
      <c r="E54" s="125"/>
      <c r="F54" s="125"/>
      <c r="G54" s="125">
        <v>0</v>
      </c>
      <c r="H54" s="125">
        <v>0</v>
      </c>
      <c r="I54" s="125">
        <v>0</v>
      </c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58"/>
      <c r="V54" s="158"/>
      <c r="W54" s="158"/>
      <c r="X54" s="158"/>
    </row>
    <row r="55" spans="1:33" s="153" customFormat="1" ht="24.95" customHeight="1">
      <c r="A55" s="104"/>
      <c r="B55" s="269" t="s">
        <v>140</v>
      </c>
      <c r="C55" s="148"/>
      <c r="D55" s="125">
        <v>0</v>
      </c>
      <c r="E55" s="125">
        <v>0</v>
      </c>
      <c r="F55" s="125">
        <v>0</v>
      </c>
      <c r="G55" s="125">
        <v>0</v>
      </c>
      <c r="H55" s="125">
        <v>0</v>
      </c>
      <c r="I55" s="125">
        <v>0</v>
      </c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58"/>
      <c r="V55" s="158"/>
      <c r="W55" s="158"/>
      <c r="X55" s="158"/>
    </row>
    <row r="56" spans="1:33" s="153" customFormat="1" ht="24.95" customHeight="1">
      <c r="A56" s="104"/>
      <c r="B56" s="269" t="s">
        <v>141</v>
      </c>
      <c r="C56" s="148"/>
      <c r="D56" s="125">
        <v>56</v>
      </c>
      <c r="E56" s="125">
        <v>67</v>
      </c>
      <c r="F56" s="125">
        <v>89</v>
      </c>
      <c r="G56" s="125">
        <v>125</v>
      </c>
      <c r="H56" s="125">
        <v>155</v>
      </c>
      <c r="I56" s="125">
        <v>150</v>
      </c>
      <c r="J56" s="125">
        <f>87.7*J4/100</f>
        <v>159.614</v>
      </c>
      <c r="K56" s="125">
        <f t="shared" ref="K56:T56" si="29">87.7*K4/100</f>
        <v>166.63</v>
      </c>
      <c r="L56" s="125">
        <f t="shared" si="29"/>
        <v>170.13800000000001</v>
      </c>
      <c r="M56" s="125">
        <f t="shared" si="29"/>
        <v>171.01499999999999</v>
      </c>
      <c r="N56" s="125">
        <f t="shared" si="29"/>
        <v>177.15400000000002</v>
      </c>
      <c r="O56" s="125">
        <f t="shared" si="29"/>
        <v>177.15400000000002</v>
      </c>
      <c r="P56" s="125">
        <f t="shared" si="29"/>
        <v>178.03100000000003</v>
      </c>
      <c r="Q56" s="125">
        <f t="shared" si="29"/>
        <v>178.90799999999999</v>
      </c>
      <c r="R56" s="125">
        <f t="shared" si="29"/>
        <v>180.66200000000001</v>
      </c>
      <c r="S56" s="125">
        <f t="shared" si="29"/>
        <v>187.678</v>
      </c>
      <c r="T56" s="125">
        <f t="shared" si="29"/>
        <v>200.833</v>
      </c>
      <c r="U56" s="158" t="s">
        <v>163</v>
      </c>
      <c r="V56" s="158"/>
      <c r="W56" s="158"/>
      <c r="X56" s="158"/>
    </row>
    <row r="57" spans="1:33" s="153" customFormat="1" ht="24.95" customHeight="1">
      <c r="A57" s="104"/>
      <c r="B57" s="269" t="s">
        <v>142</v>
      </c>
      <c r="C57" s="148"/>
      <c r="D57" s="125">
        <v>98</v>
      </c>
      <c r="E57" s="125">
        <v>106</v>
      </c>
      <c r="F57" s="125">
        <v>134</v>
      </c>
      <c r="G57" s="125">
        <v>145</v>
      </c>
      <c r="H57" s="125">
        <v>176</v>
      </c>
      <c r="I57" s="125">
        <v>168</v>
      </c>
      <c r="J57" s="125">
        <f>98.2*J4/100</f>
        <v>178.72400000000002</v>
      </c>
      <c r="K57" s="125">
        <f t="shared" ref="K57:T57" si="30">98.2*K4/100</f>
        <v>186.58</v>
      </c>
      <c r="L57" s="125">
        <f t="shared" si="30"/>
        <v>190.50799999999998</v>
      </c>
      <c r="M57" s="125">
        <f t="shared" si="30"/>
        <v>191.49</v>
      </c>
      <c r="N57" s="125">
        <f t="shared" si="30"/>
        <v>198.364</v>
      </c>
      <c r="O57" s="125">
        <f t="shared" si="30"/>
        <v>198.364</v>
      </c>
      <c r="P57" s="125">
        <f t="shared" si="30"/>
        <v>199.34600000000003</v>
      </c>
      <c r="Q57" s="125">
        <f t="shared" si="30"/>
        <v>200.328</v>
      </c>
      <c r="R57" s="125">
        <f t="shared" si="30"/>
        <v>202.292</v>
      </c>
      <c r="S57" s="125">
        <f t="shared" si="30"/>
        <v>210.148</v>
      </c>
      <c r="T57" s="125">
        <f t="shared" si="30"/>
        <v>224.87799999999999</v>
      </c>
      <c r="U57" s="158" t="s">
        <v>164</v>
      </c>
      <c r="V57" s="158"/>
      <c r="W57" s="158"/>
      <c r="X57" s="158"/>
    </row>
    <row r="58" spans="1:33" s="153" customFormat="1" ht="24.95" customHeight="1">
      <c r="A58" s="104"/>
      <c r="B58" s="269" t="s">
        <v>143</v>
      </c>
      <c r="C58" s="148"/>
      <c r="D58" s="125">
        <v>72</v>
      </c>
      <c r="E58" s="125">
        <v>87</v>
      </c>
      <c r="F58" s="125">
        <v>89</v>
      </c>
      <c r="G58" s="125">
        <v>98</v>
      </c>
      <c r="H58" s="125">
        <v>120</v>
      </c>
      <c r="I58" s="125">
        <v>121</v>
      </c>
      <c r="J58" s="125">
        <f>70.8*J4/100</f>
        <v>128.85599999999999</v>
      </c>
      <c r="K58" s="125">
        <f t="shared" ref="K58:T58" si="31">70.8*K4/100</f>
        <v>134.52000000000001</v>
      </c>
      <c r="L58" s="125">
        <f t="shared" si="31"/>
        <v>137.35199999999998</v>
      </c>
      <c r="M58" s="125">
        <f t="shared" si="31"/>
        <v>138.06</v>
      </c>
      <c r="N58" s="125">
        <f t="shared" si="31"/>
        <v>143.01599999999999</v>
      </c>
      <c r="O58" s="125">
        <f t="shared" si="31"/>
        <v>143.01599999999999</v>
      </c>
      <c r="P58" s="125">
        <f t="shared" si="31"/>
        <v>143.72399999999999</v>
      </c>
      <c r="Q58" s="125">
        <f t="shared" si="31"/>
        <v>144.43199999999999</v>
      </c>
      <c r="R58" s="125">
        <f t="shared" si="31"/>
        <v>145.84799999999998</v>
      </c>
      <c r="S58" s="125">
        <f t="shared" si="31"/>
        <v>151.512</v>
      </c>
      <c r="T58" s="125">
        <f t="shared" si="31"/>
        <v>162.13199999999998</v>
      </c>
      <c r="U58" s="158" t="s">
        <v>165</v>
      </c>
      <c r="V58" s="158"/>
      <c r="W58" s="158"/>
      <c r="X58" s="158"/>
    </row>
    <row r="59" spans="1:33" s="150" customFormat="1" ht="24.95" customHeight="1">
      <c r="A59" s="104">
        <v>7</v>
      </c>
      <c r="B59" s="147" t="s">
        <v>144</v>
      </c>
      <c r="C59" s="104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64"/>
      <c r="O59" s="136"/>
      <c r="P59" s="136"/>
      <c r="Q59" s="136"/>
      <c r="R59" s="136"/>
      <c r="S59" s="136"/>
      <c r="T59" s="136"/>
      <c r="U59" s="165"/>
      <c r="V59" s="165"/>
      <c r="W59" s="165"/>
      <c r="X59" s="165"/>
    </row>
    <row r="60" spans="1:33" s="150" customFormat="1" ht="24.95" customHeight="1">
      <c r="A60" s="148" t="s">
        <v>576</v>
      </c>
      <c r="B60" s="151" t="s">
        <v>106</v>
      </c>
      <c r="C60" s="148" t="s">
        <v>107</v>
      </c>
      <c r="D60" s="125">
        <v>1402</v>
      </c>
      <c r="E60" s="125">
        <v>1626</v>
      </c>
      <c r="F60" s="125">
        <v>1761</v>
      </c>
      <c r="G60" s="125">
        <v>1991</v>
      </c>
      <c r="H60" s="125">
        <v>2051</v>
      </c>
      <c r="I60" s="125">
        <v>2076</v>
      </c>
      <c r="J60" s="125">
        <f>J34</f>
        <v>2102.0257291876428</v>
      </c>
      <c r="K60" s="125">
        <f t="shared" ref="K60:T60" si="32">K34</f>
        <v>2285.4097004270616</v>
      </c>
      <c r="L60" s="125">
        <f t="shared" si="32"/>
        <v>2499.7494001761252</v>
      </c>
      <c r="M60" s="125">
        <f t="shared" si="32"/>
        <v>2718.2057655357767</v>
      </c>
      <c r="N60" s="125">
        <f>N34</f>
        <v>2945.0745059654173</v>
      </c>
      <c r="O60" s="125">
        <f t="shared" si="32"/>
        <v>3000.3802254998163</v>
      </c>
      <c r="P60" s="125">
        <f t="shared" si="32"/>
        <v>3048.6248919017276</v>
      </c>
      <c r="Q60" s="125">
        <f t="shared" si="32"/>
        <v>3113.7710333895825</v>
      </c>
      <c r="R60" s="125">
        <f t="shared" si="32"/>
        <v>3163.3879020785025</v>
      </c>
      <c r="S60" s="125">
        <f t="shared" si="32"/>
        <v>3226.7493420117307</v>
      </c>
      <c r="T60" s="125">
        <f t="shared" si="32"/>
        <v>3552.9494523851849</v>
      </c>
    </row>
    <row r="61" spans="1:33" s="153" customFormat="1" ht="24.95" customHeight="1">
      <c r="A61" s="148"/>
      <c r="B61" s="154" t="s">
        <v>623</v>
      </c>
      <c r="C61" s="148" t="s">
        <v>90</v>
      </c>
      <c r="D61" s="125">
        <v>553</v>
      </c>
      <c r="E61" s="125">
        <v>673</v>
      </c>
      <c r="F61" s="125">
        <v>770</v>
      </c>
      <c r="G61" s="125">
        <v>844</v>
      </c>
      <c r="H61" s="125">
        <v>957</v>
      </c>
      <c r="I61" s="125">
        <v>966</v>
      </c>
      <c r="J61" s="125">
        <f>I61+207</f>
        <v>1173</v>
      </c>
      <c r="K61" s="125">
        <f>J61+185</f>
        <v>1358</v>
      </c>
      <c r="L61" s="125">
        <f>K61+40</f>
        <v>1398</v>
      </c>
      <c r="M61" s="125">
        <f>L61+40</f>
        <v>1438</v>
      </c>
      <c r="N61" s="125">
        <f>M61+40</f>
        <v>1478</v>
      </c>
      <c r="O61" s="125">
        <f>N61+40+60</f>
        <v>1578</v>
      </c>
      <c r="P61" s="125">
        <f>O61+40+60</f>
        <v>1678</v>
      </c>
      <c r="Q61" s="125">
        <f>P61+40+60</f>
        <v>1778</v>
      </c>
      <c r="R61" s="125">
        <f>Q61+40+60</f>
        <v>1878</v>
      </c>
      <c r="S61" s="125">
        <f>R61+40+60</f>
        <v>1978</v>
      </c>
      <c r="T61" s="125">
        <f>S61+150</f>
        <v>2128</v>
      </c>
    </row>
    <row r="62" spans="1:33" s="153" customFormat="1" ht="24.95" customHeight="1">
      <c r="A62" s="148"/>
      <c r="B62" s="154" t="s">
        <v>624</v>
      </c>
      <c r="C62" s="148" t="s">
        <v>108</v>
      </c>
      <c r="D62" s="128">
        <f t="shared" ref="D62:T62" si="33">D60/D34</f>
        <v>1.0152063721940623</v>
      </c>
      <c r="E62" s="128">
        <f t="shared" si="33"/>
        <v>0.96327014218009477</v>
      </c>
      <c r="F62" s="128">
        <f t="shared" si="33"/>
        <v>0.95810663764961912</v>
      </c>
      <c r="G62" s="128">
        <f t="shared" si="33"/>
        <v>1.0332122470160872</v>
      </c>
      <c r="H62" s="128">
        <f t="shared" si="33"/>
        <v>1.0285857572718153</v>
      </c>
      <c r="I62" s="128">
        <f t="shared" si="33"/>
        <v>1.0009643201542913</v>
      </c>
      <c r="J62" s="128">
        <f t="shared" si="33"/>
        <v>1</v>
      </c>
      <c r="K62" s="128">
        <f t="shared" si="33"/>
        <v>1</v>
      </c>
      <c r="L62" s="128">
        <f t="shared" si="33"/>
        <v>1</v>
      </c>
      <c r="M62" s="128">
        <f t="shared" si="33"/>
        <v>1</v>
      </c>
      <c r="N62" s="128">
        <f t="shared" si="33"/>
        <v>1</v>
      </c>
      <c r="O62" s="128">
        <f t="shared" si="33"/>
        <v>1</v>
      </c>
      <c r="P62" s="128">
        <f t="shared" si="33"/>
        <v>1</v>
      </c>
      <c r="Q62" s="128">
        <f t="shared" si="33"/>
        <v>1</v>
      </c>
      <c r="R62" s="128">
        <f t="shared" si="33"/>
        <v>1</v>
      </c>
      <c r="S62" s="128">
        <f t="shared" si="33"/>
        <v>1</v>
      </c>
      <c r="T62" s="128">
        <f t="shared" si="33"/>
        <v>1</v>
      </c>
    </row>
    <row r="63" spans="1:33" s="153" customFormat="1" ht="32.25" customHeight="1">
      <c r="A63" s="148" t="s">
        <v>577</v>
      </c>
      <c r="B63" s="97" t="s">
        <v>147</v>
      </c>
      <c r="C63" s="98" t="s">
        <v>107</v>
      </c>
      <c r="D63" s="125">
        <v>48</v>
      </c>
      <c r="E63" s="125">
        <v>59</v>
      </c>
      <c r="F63" s="125">
        <v>87</v>
      </c>
      <c r="G63" s="125">
        <v>113</v>
      </c>
      <c r="H63" s="125">
        <v>142</v>
      </c>
      <c r="I63" s="125">
        <v>159</v>
      </c>
      <c r="J63" s="125">
        <f>I63+8</f>
        <v>167</v>
      </c>
      <c r="K63" s="125">
        <f>J63+8</f>
        <v>175</v>
      </c>
      <c r="L63" s="125">
        <f>K63+8</f>
        <v>183</v>
      </c>
      <c r="M63" s="125">
        <f>L63+8</f>
        <v>191</v>
      </c>
      <c r="N63" s="125">
        <f>N4</f>
        <v>202</v>
      </c>
      <c r="O63" s="125">
        <f>N63+10</f>
        <v>212</v>
      </c>
      <c r="P63" s="125">
        <f>O63+20</f>
        <v>232</v>
      </c>
      <c r="Q63" s="125">
        <f>P63+20</f>
        <v>252</v>
      </c>
      <c r="R63" s="125">
        <f>Q63+20</f>
        <v>272</v>
      </c>
      <c r="S63" s="125">
        <f>S4*1.5</f>
        <v>321</v>
      </c>
      <c r="T63" s="125">
        <f>T4*2</f>
        <v>458</v>
      </c>
    </row>
    <row r="64" spans="1:33" s="153" customFormat="1" ht="24.95" customHeight="1">
      <c r="A64" s="148"/>
      <c r="B64" s="154" t="s">
        <v>623</v>
      </c>
      <c r="C64" s="148" t="s">
        <v>90</v>
      </c>
      <c r="D64" s="125">
        <v>31</v>
      </c>
      <c r="E64" s="125">
        <v>43</v>
      </c>
      <c r="F64" s="125">
        <v>75</v>
      </c>
      <c r="G64" s="125">
        <v>88</v>
      </c>
      <c r="H64" s="125">
        <v>109</v>
      </c>
      <c r="I64" s="125">
        <v>122</v>
      </c>
      <c r="J64" s="125">
        <f>I64+5</f>
        <v>127</v>
      </c>
      <c r="K64" s="125">
        <f>J64+8</f>
        <v>135</v>
      </c>
      <c r="L64" s="125">
        <f>K64+8</f>
        <v>143</v>
      </c>
      <c r="M64" s="125">
        <f>L64+10</f>
        <v>153</v>
      </c>
      <c r="N64" s="125">
        <f>M64+10</f>
        <v>163</v>
      </c>
      <c r="O64" s="125">
        <f>N64+10</f>
        <v>173</v>
      </c>
      <c r="P64" s="125">
        <f>O64+10</f>
        <v>183</v>
      </c>
      <c r="Q64" s="125">
        <f>P64+10</f>
        <v>193</v>
      </c>
      <c r="R64" s="125">
        <f>Q64+10</f>
        <v>203</v>
      </c>
      <c r="S64" s="125">
        <f>R64+10</f>
        <v>213</v>
      </c>
      <c r="T64" s="125">
        <f>S64+50</f>
        <v>263</v>
      </c>
    </row>
    <row r="65" spans="1:21" s="153" customFormat="1" ht="24.95" customHeight="1">
      <c r="A65" s="148"/>
      <c r="B65" s="154" t="s">
        <v>625</v>
      </c>
      <c r="C65" s="148" t="s">
        <v>110</v>
      </c>
      <c r="D65" s="128">
        <f t="shared" ref="D65:T65" si="34">D63/D4</f>
        <v>0.33103448275862069</v>
      </c>
      <c r="E65" s="128">
        <f t="shared" si="34"/>
        <v>0.38815789473684209</v>
      </c>
      <c r="F65" s="128">
        <f t="shared" si="34"/>
        <v>0.53703703703703709</v>
      </c>
      <c r="G65" s="128">
        <f t="shared" si="34"/>
        <v>0.69325153374233128</v>
      </c>
      <c r="H65" s="128">
        <f t="shared" si="34"/>
        <v>0.83040935672514615</v>
      </c>
      <c r="I65" s="128">
        <f t="shared" si="34"/>
        <v>0.92982456140350878</v>
      </c>
      <c r="J65" s="128">
        <f t="shared" si="34"/>
        <v>0.91758241758241754</v>
      </c>
      <c r="K65" s="128">
        <f t="shared" si="34"/>
        <v>0.92105263157894735</v>
      </c>
      <c r="L65" s="128">
        <f t="shared" si="34"/>
        <v>0.94329896907216493</v>
      </c>
      <c r="M65" s="128">
        <f t="shared" si="34"/>
        <v>0.97948717948717945</v>
      </c>
      <c r="N65" s="128">
        <f t="shared" si="34"/>
        <v>1</v>
      </c>
      <c r="O65" s="128">
        <f t="shared" si="34"/>
        <v>1.0495049504950495</v>
      </c>
      <c r="P65" s="128">
        <f t="shared" si="34"/>
        <v>1.1428571428571428</v>
      </c>
      <c r="Q65" s="128">
        <f t="shared" si="34"/>
        <v>1.2352941176470589</v>
      </c>
      <c r="R65" s="128">
        <f t="shared" si="34"/>
        <v>1.3203883495145632</v>
      </c>
      <c r="S65" s="128">
        <f t="shared" si="34"/>
        <v>1.5</v>
      </c>
      <c r="T65" s="128">
        <f t="shared" si="34"/>
        <v>2</v>
      </c>
    </row>
    <row r="66" spans="1:21" s="153" customFormat="1" ht="24.95" customHeight="1">
      <c r="A66" s="148" t="s">
        <v>578</v>
      </c>
      <c r="B66" s="154" t="s">
        <v>112</v>
      </c>
      <c r="C66" s="148" t="s">
        <v>107</v>
      </c>
      <c r="D66" s="125">
        <v>461</v>
      </c>
      <c r="E66" s="125">
        <v>553</v>
      </c>
      <c r="F66" s="125">
        <v>623</v>
      </c>
      <c r="G66" s="125">
        <v>625</v>
      </c>
      <c r="H66" s="125">
        <v>648</v>
      </c>
      <c r="I66" s="125">
        <v>657</v>
      </c>
      <c r="J66" s="125">
        <v>689</v>
      </c>
      <c r="K66" s="125">
        <v>724</v>
      </c>
      <c r="L66" s="125">
        <v>760</v>
      </c>
      <c r="M66" s="125">
        <v>798</v>
      </c>
      <c r="N66" s="125">
        <v>838</v>
      </c>
      <c r="O66" s="125">
        <v>880</v>
      </c>
      <c r="P66" s="125">
        <v>924</v>
      </c>
      <c r="Q66" s="125">
        <v>970</v>
      </c>
      <c r="R66" s="125">
        <v>1019</v>
      </c>
      <c r="S66" s="125">
        <v>1070</v>
      </c>
      <c r="T66" s="125">
        <v>1184</v>
      </c>
    </row>
    <row r="67" spans="1:21" s="153" customFormat="1" ht="24.95" customHeight="1">
      <c r="A67" s="148"/>
      <c r="B67" s="154" t="s">
        <v>122</v>
      </c>
      <c r="C67" s="148" t="s">
        <v>90</v>
      </c>
      <c r="D67" s="125">
        <v>205</v>
      </c>
      <c r="E67" s="125">
        <v>247</v>
      </c>
      <c r="F67" s="125">
        <v>302</v>
      </c>
      <c r="G67" s="125">
        <v>285</v>
      </c>
      <c r="H67" s="125">
        <v>315</v>
      </c>
      <c r="I67" s="125">
        <v>293</v>
      </c>
      <c r="J67" s="125">
        <f>I67+20</f>
        <v>313</v>
      </c>
      <c r="K67" s="125">
        <f>J67+25</f>
        <v>338</v>
      </c>
      <c r="L67" s="125">
        <f>K67+25</f>
        <v>363</v>
      </c>
      <c r="M67" s="125">
        <f>L67+25</f>
        <v>388</v>
      </c>
      <c r="N67" s="125">
        <f>M67+25</f>
        <v>413</v>
      </c>
      <c r="O67" s="125">
        <f>N67+30</f>
        <v>443</v>
      </c>
      <c r="P67" s="125">
        <f>O67+30</f>
        <v>473</v>
      </c>
      <c r="Q67" s="125">
        <f>P67+30</f>
        <v>503</v>
      </c>
      <c r="R67" s="125">
        <f>Q67+30</f>
        <v>533</v>
      </c>
      <c r="S67" s="125">
        <f>R67+30</f>
        <v>563</v>
      </c>
      <c r="T67" s="125">
        <f>S67+50</f>
        <v>613</v>
      </c>
    </row>
    <row r="68" spans="1:21" s="153" customFormat="1" ht="24.95" customHeight="1">
      <c r="A68" s="148" t="s">
        <v>579</v>
      </c>
      <c r="B68" s="154" t="s">
        <v>145</v>
      </c>
      <c r="C68" s="148" t="s">
        <v>111</v>
      </c>
      <c r="D68" s="125">
        <v>197</v>
      </c>
      <c r="E68" s="125">
        <v>302</v>
      </c>
      <c r="F68" s="125">
        <v>409</v>
      </c>
      <c r="G68" s="125">
        <v>498</v>
      </c>
      <c r="H68" s="125">
        <v>591</v>
      </c>
      <c r="I68" s="125">
        <v>639</v>
      </c>
      <c r="J68" s="125">
        <f>I68+9</f>
        <v>648</v>
      </c>
      <c r="K68" s="125">
        <f t="shared" ref="K68:R68" si="35">J68+9</f>
        <v>657</v>
      </c>
      <c r="L68" s="125">
        <f t="shared" si="35"/>
        <v>666</v>
      </c>
      <c r="M68" s="125">
        <f t="shared" si="35"/>
        <v>675</v>
      </c>
      <c r="N68" s="125">
        <f t="shared" si="35"/>
        <v>684</v>
      </c>
      <c r="O68" s="125">
        <f t="shared" si="35"/>
        <v>693</v>
      </c>
      <c r="P68" s="125">
        <f t="shared" si="35"/>
        <v>702</v>
      </c>
      <c r="Q68" s="125">
        <f t="shared" si="35"/>
        <v>711</v>
      </c>
      <c r="R68" s="125">
        <f t="shared" si="35"/>
        <v>720</v>
      </c>
      <c r="S68" s="125">
        <v>737</v>
      </c>
      <c r="T68" s="125">
        <v>741</v>
      </c>
    </row>
    <row r="69" spans="1:21" s="153" customFormat="1" ht="24.95" customHeight="1">
      <c r="A69" s="148"/>
      <c r="B69" s="154" t="s">
        <v>626</v>
      </c>
      <c r="C69" s="148" t="s">
        <v>90</v>
      </c>
      <c r="D69" s="125">
        <v>26</v>
      </c>
      <c r="E69" s="125">
        <v>32</v>
      </c>
      <c r="F69" s="125">
        <v>47</v>
      </c>
      <c r="G69" s="125">
        <v>64</v>
      </c>
      <c r="H69" s="125">
        <v>88</v>
      </c>
      <c r="I69" s="125">
        <v>92</v>
      </c>
      <c r="J69" s="125">
        <f>I69+5</f>
        <v>97</v>
      </c>
      <c r="K69" s="125">
        <f>J69+8</f>
        <v>105</v>
      </c>
      <c r="L69" s="125">
        <f>K69+10</f>
        <v>115</v>
      </c>
      <c r="M69" s="125">
        <f>L69+10</f>
        <v>125</v>
      </c>
      <c r="N69" s="125">
        <f>M69+10</f>
        <v>135</v>
      </c>
      <c r="O69" s="125">
        <f>N69+10</f>
        <v>145</v>
      </c>
      <c r="P69" s="125">
        <f>O69+10</f>
        <v>155</v>
      </c>
      <c r="Q69" s="125">
        <f>P69+20</f>
        <v>175</v>
      </c>
      <c r="R69" s="125">
        <f>Q69+20</f>
        <v>195</v>
      </c>
      <c r="S69" s="125">
        <f>R69+30</f>
        <v>225</v>
      </c>
      <c r="T69" s="125">
        <f>S69+20</f>
        <v>245</v>
      </c>
    </row>
    <row r="70" spans="1:21" s="153" customFormat="1" ht="24.95" customHeight="1">
      <c r="A70" s="148" t="s">
        <v>580</v>
      </c>
      <c r="B70" s="151" t="s">
        <v>149</v>
      </c>
      <c r="C70" s="148" t="s">
        <v>113</v>
      </c>
      <c r="D70" s="125">
        <v>641</v>
      </c>
      <c r="E70" s="125">
        <v>694</v>
      </c>
      <c r="F70" s="125">
        <v>798</v>
      </c>
      <c r="G70" s="125">
        <v>992</v>
      </c>
      <c r="H70" s="125">
        <v>1101</v>
      </c>
      <c r="I70" s="125">
        <v>1134</v>
      </c>
      <c r="J70" s="125">
        <v>1150</v>
      </c>
      <c r="K70" s="125">
        <v>1171</v>
      </c>
      <c r="L70" s="125">
        <v>1201</v>
      </c>
      <c r="M70" s="125">
        <v>1223</v>
      </c>
      <c r="N70" s="125">
        <v>1231</v>
      </c>
      <c r="O70" s="125">
        <v>1239</v>
      </c>
      <c r="P70" s="125">
        <v>1246</v>
      </c>
      <c r="Q70" s="125">
        <v>1250</v>
      </c>
      <c r="R70" s="125">
        <v>1255</v>
      </c>
      <c r="S70" s="125">
        <v>1263</v>
      </c>
      <c r="T70" s="125">
        <v>1272</v>
      </c>
    </row>
    <row r="71" spans="1:21" s="153" customFormat="1" ht="24.95" customHeight="1">
      <c r="A71" s="148"/>
      <c r="B71" s="151" t="s">
        <v>627</v>
      </c>
      <c r="C71" s="148" t="s">
        <v>146</v>
      </c>
      <c r="D71" s="125">
        <v>801</v>
      </c>
      <c r="E71" s="125">
        <v>853</v>
      </c>
      <c r="F71" s="125">
        <v>1278</v>
      </c>
      <c r="G71" s="125">
        <v>1452</v>
      </c>
      <c r="H71" s="125">
        <v>1692</v>
      </c>
      <c r="I71" s="125">
        <v>1668</v>
      </c>
      <c r="J71" s="125">
        <f>J70*1.5</f>
        <v>1725</v>
      </c>
      <c r="K71" s="125">
        <f>K70*1.6</f>
        <v>1873.6000000000001</v>
      </c>
      <c r="L71" s="125">
        <f>L70*1.7</f>
        <v>2041.7</v>
      </c>
      <c r="M71" s="125">
        <f>M70*1.8</f>
        <v>2201.4</v>
      </c>
      <c r="N71" s="125">
        <f>N70*2</f>
        <v>2462</v>
      </c>
      <c r="O71" s="125">
        <f>O70*2.2</f>
        <v>2725.8</v>
      </c>
      <c r="P71" s="125">
        <f>P70*2.4</f>
        <v>2990.4</v>
      </c>
      <c r="Q71" s="125">
        <f>Q70*2.6</f>
        <v>3250</v>
      </c>
      <c r="R71" s="125">
        <f>R70*2.8</f>
        <v>3514</v>
      </c>
      <c r="S71" s="125">
        <f>S70*3</f>
        <v>3789</v>
      </c>
      <c r="T71" s="125">
        <f>T70*3</f>
        <v>3816</v>
      </c>
    </row>
    <row r="72" spans="1:21" s="153" customFormat="1" ht="24.95" customHeight="1">
      <c r="A72" s="148"/>
      <c r="B72" s="154" t="s">
        <v>266</v>
      </c>
      <c r="C72" s="148" t="s">
        <v>90</v>
      </c>
      <c r="D72" s="125">
        <v>345</v>
      </c>
      <c r="E72" s="125">
        <v>400</v>
      </c>
      <c r="F72" s="125">
        <v>508</v>
      </c>
      <c r="G72" s="125">
        <v>580</v>
      </c>
      <c r="H72" s="125">
        <v>642</v>
      </c>
      <c r="I72" s="125">
        <v>703</v>
      </c>
      <c r="J72" s="125">
        <f>I72+10</f>
        <v>713</v>
      </c>
      <c r="K72" s="125">
        <f t="shared" ref="K72:S72" si="36">J72+10</f>
        <v>723</v>
      </c>
      <c r="L72" s="125">
        <f t="shared" si="36"/>
        <v>733</v>
      </c>
      <c r="M72" s="125">
        <f t="shared" si="36"/>
        <v>743</v>
      </c>
      <c r="N72" s="125">
        <f t="shared" si="36"/>
        <v>753</v>
      </c>
      <c r="O72" s="125">
        <f t="shared" si="36"/>
        <v>763</v>
      </c>
      <c r="P72" s="125">
        <f t="shared" si="36"/>
        <v>773</v>
      </c>
      <c r="Q72" s="125">
        <f t="shared" si="36"/>
        <v>783</v>
      </c>
      <c r="R72" s="125">
        <f t="shared" si="36"/>
        <v>793</v>
      </c>
      <c r="S72" s="125">
        <f t="shared" si="36"/>
        <v>803</v>
      </c>
      <c r="T72" s="125">
        <f>S72+50</f>
        <v>853</v>
      </c>
    </row>
    <row r="73" spans="1:21" s="153" customFormat="1" ht="24.95" customHeight="1">
      <c r="A73" s="148" t="s">
        <v>581</v>
      </c>
      <c r="B73" s="151" t="s">
        <v>583</v>
      </c>
      <c r="C73" s="148" t="s">
        <v>114</v>
      </c>
      <c r="D73" s="125">
        <v>614</v>
      </c>
      <c r="E73" s="125">
        <v>640</v>
      </c>
      <c r="F73" s="125">
        <v>668</v>
      </c>
      <c r="G73" s="125">
        <v>807</v>
      </c>
      <c r="H73" s="125">
        <v>865</v>
      </c>
      <c r="I73" s="125">
        <v>891</v>
      </c>
      <c r="J73" s="125">
        <v>915</v>
      </c>
      <c r="K73" s="125">
        <v>923</v>
      </c>
      <c r="L73" s="125">
        <v>937</v>
      </c>
      <c r="M73" s="125">
        <v>938</v>
      </c>
      <c r="N73" s="125">
        <v>946</v>
      </c>
      <c r="O73" s="125">
        <v>949</v>
      </c>
      <c r="P73" s="125">
        <v>951</v>
      </c>
      <c r="Q73" s="125">
        <v>954</v>
      </c>
      <c r="R73" s="125">
        <v>957</v>
      </c>
      <c r="S73" s="125">
        <v>959</v>
      </c>
      <c r="T73" s="125">
        <v>964</v>
      </c>
    </row>
    <row r="74" spans="1:21" s="153" customFormat="1" ht="24.95" customHeight="1">
      <c r="A74" s="148"/>
      <c r="B74" s="154" t="s">
        <v>628</v>
      </c>
      <c r="C74" s="148" t="s">
        <v>90</v>
      </c>
      <c r="D74" s="125">
        <v>108</v>
      </c>
      <c r="E74" s="125">
        <v>117</v>
      </c>
      <c r="F74" s="125">
        <v>126</v>
      </c>
      <c r="G74" s="125">
        <v>147</v>
      </c>
      <c r="H74" s="125">
        <v>158</v>
      </c>
      <c r="I74" s="125">
        <v>159</v>
      </c>
      <c r="J74" s="125">
        <v>176</v>
      </c>
      <c r="K74" s="125">
        <v>180</v>
      </c>
      <c r="L74" s="125">
        <v>188</v>
      </c>
      <c r="M74" s="125">
        <v>191</v>
      </c>
      <c r="N74" s="125">
        <v>195</v>
      </c>
      <c r="O74" s="125">
        <v>197</v>
      </c>
      <c r="P74" s="125">
        <v>197</v>
      </c>
      <c r="Q74" s="125">
        <v>198</v>
      </c>
      <c r="R74" s="125">
        <v>198</v>
      </c>
      <c r="S74" s="125">
        <v>200</v>
      </c>
      <c r="T74" s="125">
        <f>T4</f>
        <v>229</v>
      </c>
    </row>
    <row r="75" spans="1:21" s="153" customFormat="1" ht="24.95" customHeight="1">
      <c r="A75" s="148"/>
      <c r="B75" s="154" t="s">
        <v>629</v>
      </c>
      <c r="C75" s="148" t="s">
        <v>90</v>
      </c>
      <c r="D75" s="125">
        <v>418</v>
      </c>
      <c r="E75" s="125">
        <v>430</v>
      </c>
      <c r="F75" s="125">
        <v>450</v>
      </c>
      <c r="G75" s="125">
        <v>572</v>
      </c>
      <c r="H75" s="125">
        <v>593</v>
      </c>
      <c r="I75" s="125">
        <v>620</v>
      </c>
      <c r="J75" s="125">
        <v>632</v>
      </c>
      <c r="K75" s="125">
        <v>638</v>
      </c>
      <c r="L75" s="125">
        <v>645</v>
      </c>
      <c r="M75" s="125">
        <v>669</v>
      </c>
      <c r="N75" s="125">
        <v>679</v>
      </c>
      <c r="O75" s="125">
        <v>688</v>
      </c>
      <c r="P75" s="125">
        <v>697</v>
      </c>
      <c r="Q75" s="125">
        <v>705</v>
      </c>
      <c r="R75" s="125">
        <v>714</v>
      </c>
      <c r="S75" s="125">
        <v>731</v>
      </c>
      <c r="T75" s="125">
        <v>755</v>
      </c>
    </row>
    <row r="76" spans="1:21" s="153" customFormat="1" ht="24.95" customHeight="1">
      <c r="A76" s="148" t="s">
        <v>582</v>
      </c>
      <c r="B76" s="151" t="s">
        <v>150</v>
      </c>
      <c r="C76" s="148" t="s">
        <v>115</v>
      </c>
      <c r="D76" s="125">
        <f>D77+D78</f>
        <v>642</v>
      </c>
      <c r="E76" s="125">
        <f t="shared" ref="E76:T76" si="37">E77+E78</f>
        <v>679</v>
      </c>
      <c r="F76" s="125">
        <f t="shared" si="37"/>
        <v>737</v>
      </c>
      <c r="G76" s="125">
        <f t="shared" si="37"/>
        <v>896</v>
      </c>
      <c r="H76" s="125">
        <f t="shared" si="37"/>
        <v>936</v>
      </c>
      <c r="I76" s="125">
        <f t="shared" si="37"/>
        <v>962</v>
      </c>
      <c r="J76" s="125">
        <f t="shared" si="37"/>
        <v>983</v>
      </c>
      <c r="K76" s="125">
        <f t="shared" si="37"/>
        <v>993</v>
      </c>
      <c r="L76" s="125">
        <f t="shared" si="37"/>
        <v>1001</v>
      </c>
      <c r="M76" s="125">
        <f t="shared" si="37"/>
        <v>1003</v>
      </c>
      <c r="N76" s="125">
        <f t="shared" si="37"/>
        <v>1012</v>
      </c>
      <c r="O76" s="125">
        <f t="shared" si="37"/>
        <v>1013</v>
      </c>
      <c r="P76" s="125">
        <f t="shared" si="37"/>
        <v>1018</v>
      </c>
      <c r="Q76" s="125">
        <f t="shared" si="37"/>
        <v>1021</v>
      </c>
      <c r="R76" s="125">
        <f t="shared" si="37"/>
        <v>1028</v>
      </c>
      <c r="S76" s="125">
        <f t="shared" si="37"/>
        <v>1039</v>
      </c>
      <c r="T76" s="125">
        <f t="shared" si="37"/>
        <v>1059</v>
      </c>
    </row>
    <row r="77" spans="1:21" s="153" customFormat="1" ht="24.95" customHeight="1">
      <c r="A77" s="148"/>
      <c r="B77" s="154" t="s">
        <v>630</v>
      </c>
      <c r="C77" s="148" t="s">
        <v>90</v>
      </c>
      <c r="D77" s="125">
        <v>108</v>
      </c>
      <c r="E77" s="125">
        <v>125</v>
      </c>
      <c r="F77" s="125">
        <v>132</v>
      </c>
      <c r="G77" s="125">
        <v>162</v>
      </c>
      <c r="H77" s="125">
        <v>167</v>
      </c>
      <c r="I77" s="125">
        <v>171</v>
      </c>
      <c r="J77" s="125">
        <f>J4</f>
        <v>182</v>
      </c>
      <c r="K77" s="125">
        <f>K4</f>
        <v>190</v>
      </c>
      <c r="L77" s="125">
        <f>L4</f>
        <v>194</v>
      </c>
      <c r="M77" s="125">
        <f t="shared" ref="M77:T77" si="38">M4</f>
        <v>195</v>
      </c>
      <c r="N77" s="125">
        <f t="shared" si="38"/>
        <v>202</v>
      </c>
      <c r="O77" s="125">
        <f t="shared" si="38"/>
        <v>202</v>
      </c>
      <c r="P77" s="125">
        <f t="shared" si="38"/>
        <v>203</v>
      </c>
      <c r="Q77" s="125">
        <f t="shared" si="38"/>
        <v>204</v>
      </c>
      <c r="R77" s="125">
        <f t="shared" si="38"/>
        <v>206</v>
      </c>
      <c r="S77" s="125">
        <f t="shared" si="38"/>
        <v>214</v>
      </c>
      <c r="T77" s="125">
        <f t="shared" si="38"/>
        <v>229</v>
      </c>
    </row>
    <row r="78" spans="1:21" s="153" customFormat="1" ht="24.95" customHeight="1">
      <c r="A78" s="148"/>
      <c r="B78" s="154" t="s">
        <v>631</v>
      </c>
      <c r="C78" s="148" t="s">
        <v>90</v>
      </c>
      <c r="D78" s="125">
        <v>534</v>
      </c>
      <c r="E78" s="125">
        <v>554</v>
      </c>
      <c r="F78" s="125">
        <v>605</v>
      </c>
      <c r="G78" s="125">
        <v>734</v>
      </c>
      <c r="H78" s="125">
        <v>769</v>
      </c>
      <c r="I78" s="125">
        <v>791</v>
      </c>
      <c r="J78" s="125">
        <v>801</v>
      </c>
      <c r="K78" s="125">
        <v>803</v>
      </c>
      <c r="L78" s="125">
        <v>807</v>
      </c>
      <c r="M78" s="125">
        <v>808</v>
      </c>
      <c r="N78" s="125">
        <v>810</v>
      </c>
      <c r="O78" s="125">
        <v>811</v>
      </c>
      <c r="P78" s="125">
        <v>815</v>
      </c>
      <c r="Q78" s="125">
        <v>817</v>
      </c>
      <c r="R78" s="125">
        <v>822</v>
      </c>
      <c r="S78" s="125">
        <v>825</v>
      </c>
      <c r="T78" s="125">
        <v>830</v>
      </c>
    </row>
    <row r="79" spans="1:21" s="150" customFormat="1" ht="24.95" customHeight="1">
      <c r="A79" s="104">
        <v>8</v>
      </c>
      <c r="B79" s="155" t="s">
        <v>132</v>
      </c>
      <c r="C79" s="125" t="s">
        <v>116</v>
      </c>
      <c r="D79" s="166">
        <f t="shared" ref="D79:T79" si="39">D80+D81</f>
        <v>260216.4</v>
      </c>
      <c r="E79" s="166">
        <f t="shared" si="39"/>
        <v>341724.2</v>
      </c>
      <c r="F79" s="166">
        <f t="shared" si="39"/>
        <v>424927.25</v>
      </c>
      <c r="G79" s="166">
        <f t="shared" si="39"/>
        <v>520360.3</v>
      </c>
      <c r="H79" s="166">
        <f t="shared" si="39"/>
        <v>439171.14500000002</v>
      </c>
      <c r="I79" s="166">
        <f t="shared" si="39"/>
        <v>527928</v>
      </c>
      <c r="J79" s="166">
        <f t="shared" si="39"/>
        <v>687917</v>
      </c>
      <c r="K79" s="166">
        <f>K80+K81</f>
        <v>713128</v>
      </c>
      <c r="L79" s="166">
        <f>L80+L81</f>
        <v>653036</v>
      </c>
      <c r="M79" s="166">
        <f t="shared" si="39"/>
        <v>724103</v>
      </c>
      <c r="N79" s="166">
        <f t="shared" si="39"/>
        <v>774093</v>
      </c>
      <c r="O79" s="166">
        <f t="shared" si="39"/>
        <v>832170</v>
      </c>
      <c r="P79" s="166">
        <f t="shared" si="39"/>
        <v>879084</v>
      </c>
      <c r="Q79" s="166">
        <f t="shared" si="39"/>
        <v>897855</v>
      </c>
      <c r="R79" s="166">
        <f t="shared" si="39"/>
        <v>911383</v>
      </c>
      <c r="S79" s="166">
        <f t="shared" si="39"/>
        <v>974418</v>
      </c>
      <c r="T79" s="166">
        <f t="shared" si="39"/>
        <v>1185717</v>
      </c>
    </row>
    <row r="80" spans="1:21" s="153" customFormat="1" ht="24.95" customHeight="1">
      <c r="A80" s="104"/>
      <c r="B80" s="154" t="s">
        <v>123</v>
      </c>
      <c r="C80" s="121" t="s">
        <v>90</v>
      </c>
      <c r="D80" s="125">
        <v>210391</v>
      </c>
      <c r="E80" s="125">
        <v>283259</v>
      </c>
      <c r="F80" s="125">
        <v>359841</v>
      </c>
      <c r="G80" s="125">
        <v>464771</v>
      </c>
      <c r="H80" s="125">
        <v>402388</v>
      </c>
      <c r="I80" s="125">
        <v>478525</v>
      </c>
      <c r="J80" s="125">
        <v>519767</v>
      </c>
      <c r="K80" s="125">
        <v>557728</v>
      </c>
      <c r="L80" s="125">
        <v>598636</v>
      </c>
      <c r="M80" s="125">
        <v>669603</v>
      </c>
      <c r="N80" s="125">
        <v>717843</v>
      </c>
      <c r="O80" s="125">
        <v>734420</v>
      </c>
      <c r="P80" s="125">
        <v>780334</v>
      </c>
      <c r="Q80" s="125">
        <v>795605</v>
      </c>
      <c r="R80" s="125">
        <v>808133</v>
      </c>
      <c r="S80" s="125">
        <v>865668</v>
      </c>
      <c r="T80" s="125">
        <v>993217</v>
      </c>
      <c r="U80" s="153" t="s">
        <v>168</v>
      </c>
    </row>
    <row r="81" spans="1:20" s="153" customFormat="1" ht="24.95" customHeight="1">
      <c r="A81" s="104" t="s">
        <v>59</v>
      </c>
      <c r="B81" s="154" t="s">
        <v>952</v>
      </c>
      <c r="C81" s="146" t="s">
        <v>90</v>
      </c>
      <c r="D81" s="125">
        <v>49825.4</v>
      </c>
      <c r="E81" s="125">
        <v>58465.2</v>
      </c>
      <c r="F81" s="125">
        <v>65086.25</v>
      </c>
      <c r="G81" s="125">
        <v>55589.3</v>
      </c>
      <c r="H81" s="125">
        <v>36783.145000000004</v>
      </c>
      <c r="I81" s="125">
        <v>49403</v>
      </c>
      <c r="J81" s="125">
        <f>700*(J61-I61)+800*(J64-I64)+300*(J67-I67)+500*(J69-I69)+300*(J72-I72)+500*5+250*(J76-I76)</f>
        <v>168150</v>
      </c>
      <c r="K81" s="125">
        <f t="shared" ref="K81:P81" si="40">700*(K61-J61)+800*(K64-J64)+300*(K67-J67)+500*(K69-J69)+300*(K72-J72)+500*5+250*(K76-J76)</f>
        <v>155400</v>
      </c>
      <c r="L81" s="125">
        <f t="shared" si="40"/>
        <v>54400</v>
      </c>
      <c r="M81" s="125">
        <f t="shared" si="40"/>
        <v>54500</v>
      </c>
      <c r="N81" s="125">
        <f t="shared" si="40"/>
        <v>56250</v>
      </c>
      <c r="O81" s="125">
        <f t="shared" si="40"/>
        <v>97750</v>
      </c>
      <c r="P81" s="125">
        <f t="shared" si="40"/>
        <v>98750</v>
      </c>
      <c r="Q81" s="125">
        <f>700*(Q61-P61)+800*(Q64-P64)+300*(Q67-P67)+500*(Q69-P69)+300*(Q72-P72)+500*(Q73-P73)+250*(Q76-P76)</f>
        <v>102250</v>
      </c>
      <c r="R81" s="125">
        <f>700*(R61-Q61)+800*(R64-Q64)+300*(R67-Q67)+500*(R69-Q69)+300*(R72-Q72)+500*(R73-Q73)+250*(R76-Q76)</f>
        <v>103250</v>
      </c>
      <c r="S81" s="125">
        <f>700*(S61-R61)+800*(S64-R64)+300*(S67-R67)+500*(S69-R69)+300*(S72-R72)+500*(S73-R73)+250*(S76-R76)</f>
        <v>108750</v>
      </c>
      <c r="T81" s="125">
        <f>700*(T61-S61)+800*(T64-S64)+300*(T67-S67)+500*(T69-S69)+300*(T72-S72)+500*(T73-S73)+250*(T76-S76)</f>
        <v>192500</v>
      </c>
    </row>
    <row r="82" spans="1:20" s="150" customFormat="1" ht="24.95" customHeight="1">
      <c r="A82" s="104">
        <v>9</v>
      </c>
      <c r="B82" s="155" t="s">
        <v>119</v>
      </c>
      <c r="C82" s="125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</row>
    <row r="83" spans="1:20" s="153" customFormat="1" ht="24.95" customHeight="1">
      <c r="A83" s="148"/>
      <c r="B83" s="154" t="s">
        <v>120</v>
      </c>
      <c r="C83" s="121" t="s">
        <v>118</v>
      </c>
      <c r="D83" s="125">
        <v>0</v>
      </c>
      <c r="E83" s="125">
        <v>0</v>
      </c>
      <c r="F83" s="125">
        <v>34</v>
      </c>
      <c r="G83" s="125">
        <v>105</v>
      </c>
      <c r="H83" s="125">
        <v>130</v>
      </c>
      <c r="I83" s="125">
        <v>130</v>
      </c>
      <c r="J83" s="125">
        <v>130</v>
      </c>
      <c r="K83" s="125">
        <v>130</v>
      </c>
      <c r="L83" s="125">
        <v>130</v>
      </c>
      <c r="M83" s="125">
        <v>130</v>
      </c>
      <c r="N83" s="125">
        <v>130</v>
      </c>
      <c r="O83" s="125">
        <v>130</v>
      </c>
      <c r="P83" s="125">
        <v>130</v>
      </c>
      <c r="Q83" s="125">
        <v>130</v>
      </c>
      <c r="R83" s="125">
        <v>130</v>
      </c>
      <c r="S83" s="125">
        <v>130</v>
      </c>
      <c r="T83" s="125">
        <v>130</v>
      </c>
    </row>
    <row r="85" spans="1:20" ht="18" hidden="1" customHeight="1">
      <c r="B85" s="786" t="s">
        <v>121</v>
      </c>
      <c r="C85" s="786"/>
      <c r="D85" s="786"/>
      <c r="E85" s="786"/>
      <c r="F85" s="786"/>
      <c r="G85" s="786"/>
      <c r="H85" s="786"/>
      <c r="I85" s="786"/>
      <c r="J85" s="786"/>
      <c r="K85" s="786"/>
      <c r="L85" s="786"/>
      <c r="M85" s="786"/>
      <c r="N85" s="786"/>
      <c r="O85" s="786"/>
      <c r="P85" s="786"/>
      <c r="Q85" s="786"/>
      <c r="R85" s="786"/>
      <c r="S85" s="786"/>
      <c r="T85" s="786"/>
    </row>
    <row r="86" spans="1:20" ht="18" hidden="1" customHeight="1"/>
    <row r="87" spans="1:20" ht="18" hidden="1" customHeight="1">
      <c r="B87" s="92" t="s">
        <v>106</v>
      </c>
      <c r="J87" s="99">
        <f>J61-I61</f>
        <v>207</v>
      </c>
      <c r="K87" s="99">
        <f t="shared" ref="K87:T87" si="41">K61-J61</f>
        <v>185</v>
      </c>
      <c r="L87" s="99">
        <f t="shared" si="41"/>
        <v>40</v>
      </c>
      <c r="M87" s="99">
        <f t="shared" si="41"/>
        <v>40</v>
      </c>
      <c r="N87" s="99">
        <f t="shared" si="41"/>
        <v>40</v>
      </c>
      <c r="O87" s="99">
        <f t="shared" si="41"/>
        <v>100</v>
      </c>
      <c r="P87" s="99">
        <f t="shared" si="41"/>
        <v>100</v>
      </c>
      <c r="Q87" s="99">
        <f t="shared" si="41"/>
        <v>100</v>
      </c>
      <c r="R87" s="99">
        <f t="shared" si="41"/>
        <v>100</v>
      </c>
      <c r="S87" s="99">
        <f t="shared" si="41"/>
        <v>100</v>
      </c>
      <c r="T87" s="99">
        <f t="shared" si="41"/>
        <v>150</v>
      </c>
    </row>
    <row r="88" spans="1:20" ht="18" hidden="1" customHeight="1">
      <c r="B88" s="92" t="s">
        <v>170</v>
      </c>
      <c r="J88" s="99">
        <f>J64-I64</f>
        <v>5</v>
      </c>
      <c r="K88" s="99">
        <f t="shared" ref="K88:T88" si="42">K64-J64</f>
        <v>8</v>
      </c>
      <c r="L88" s="99">
        <f t="shared" si="42"/>
        <v>8</v>
      </c>
      <c r="M88" s="99">
        <f t="shared" si="42"/>
        <v>10</v>
      </c>
      <c r="N88" s="99">
        <f t="shared" si="42"/>
        <v>10</v>
      </c>
      <c r="O88" s="99">
        <f t="shared" si="42"/>
        <v>10</v>
      </c>
      <c r="P88" s="99">
        <f t="shared" si="42"/>
        <v>10</v>
      </c>
      <c r="Q88" s="99">
        <f t="shared" si="42"/>
        <v>10</v>
      </c>
      <c r="R88" s="99">
        <f t="shared" si="42"/>
        <v>10</v>
      </c>
      <c r="S88" s="99">
        <f t="shared" si="42"/>
        <v>10</v>
      </c>
      <c r="T88" s="99">
        <f t="shared" si="42"/>
        <v>50</v>
      </c>
    </row>
    <row r="89" spans="1:20" ht="18" hidden="1" customHeight="1">
      <c r="B89" s="92" t="s">
        <v>171</v>
      </c>
      <c r="J89" s="99">
        <f>J67-I67</f>
        <v>20</v>
      </c>
      <c r="K89" s="99">
        <f t="shared" ref="K89:T89" si="43">K67-J67</f>
        <v>25</v>
      </c>
      <c r="L89" s="99">
        <f t="shared" si="43"/>
        <v>25</v>
      </c>
      <c r="M89" s="99">
        <f t="shared" si="43"/>
        <v>25</v>
      </c>
      <c r="N89" s="99">
        <f t="shared" si="43"/>
        <v>25</v>
      </c>
      <c r="O89" s="99">
        <f t="shared" si="43"/>
        <v>30</v>
      </c>
      <c r="P89" s="99">
        <f t="shared" si="43"/>
        <v>30</v>
      </c>
      <c r="Q89" s="99">
        <f t="shared" si="43"/>
        <v>30</v>
      </c>
      <c r="R89" s="99">
        <f t="shared" si="43"/>
        <v>30</v>
      </c>
      <c r="S89" s="99">
        <f t="shared" si="43"/>
        <v>30</v>
      </c>
      <c r="T89" s="99">
        <f t="shared" si="43"/>
        <v>50</v>
      </c>
    </row>
    <row r="90" spans="1:20" ht="18" hidden="1" customHeight="1">
      <c r="B90" s="92" t="s">
        <v>172</v>
      </c>
      <c r="J90" s="90">
        <v>0</v>
      </c>
      <c r="K90" s="90">
        <v>0</v>
      </c>
      <c r="L90" s="90">
        <v>0</v>
      </c>
      <c r="M90" s="90">
        <v>0</v>
      </c>
      <c r="N90" s="90">
        <v>0</v>
      </c>
      <c r="O90" s="90">
        <v>0</v>
      </c>
      <c r="P90" s="90">
        <v>0</v>
      </c>
      <c r="Q90" s="90">
        <v>0</v>
      </c>
      <c r="R90" s="90">
        <v>0</v>
      </c>
      <c r="S90" s="90">
        <v>0</v>
      </c>
      <c r="T90" s="90">
        <v>0</v>
      </c>
    </row>
    <row r="91" spans="1:20" ht="18" hidden="1" customHeight="1">
      <c r="B91" s="92" t="s">
        <v>111</v>
      </c>
      <c r="J91" s="99">
        <f>J69-I69</f>
        <v>5</v>
      </c>
      <c r="K91" s="99">
        <f t="shared" ref="K91:T91" si="44">K69-J69</f>
        <v>8</v>
      </c>
      <c r="L91" s="99">
        <f t="shared" si="44"/>
        <v>10</v>
      </c>
      <c r="M91" s="99">
        <f t="shared" si="44"/>
        <v>10</v>
      </c>
      <c r="N91" s="99">
        <f t="shared" si="44"/>
        <v>10</v>
      </c>
      <c r="O91" s="99">
        <f t="shared" si="44"/>
        <v>10</v>
      </c>
      <c r="P91" s="99">
        <f t="shared" si="44"/>
        <v>10</v>
      </c>
      <c r="Q91" s="99">
        <f t="shared" si="44"/>
        <v>20</v>
      </c>
      <c r="R91" s="99">
        <f t="shared" si="44"/>
        <v>20</v>
      </c>
      <c r="S91" s="99">
        <f t="shared" si="44"/>
        <v>30</v>
      </c>
      <c r="T91" s="99">
        <f t="shared" si="44"/>
        <v>20</v>
      </c>
    </row>
    <row r="92" spans="1:20" ht="18" hidden="1" customHeight="1">
      <c r="B92" s="92" t="s">
        <v>173</v>
      </c>
      <c r="J92" s="99">
        <f>J72-I72</f>
        <v>10</v>
      </c>
      <c r="K92" s="99">
        <f t="shared" ref="K92:T92" si="45">K72-J72</f>
        <v>10</v>
      </c>
      <c r="L92" s="99">
        <f t="shared" si="45"/>
        <v>10</v>
      </c>
      <c r="M92" s="99">
        <f t="shared" si="45"/>
        <v>10</v>
      </c>
      <c r="N92" s="99">
        <f t="shared" si="45"/>
        <v>10</v>
      </c>
      <c r="O92" s="99">
        <f t="shared" si="45"/>
        <v>10</v>
      </c>
      <c r="P92" s="99">
        <f t="shared" si="45"/>
        <v>10</v>
      </c>
      <c r="Q92" s="99">
        <f t="shared" si="45"/>
        <v>10</v>
      </c>
      <c r="R92" s="99">
        <f t="shared" si="45"/>
        <v>10</v>
      </c>
      <c r="S92" s="99">
        <f t="shared" si="45"/>
        <v>10</v>
      </c>
      <c r="T92" s="99">
        <f t="shared" si="45"/>
        <v>50</v>
      </c>
    </row>
    <row r="93" spans="1:20" ht="18" hidden="1" customHeight="1">
      <c r="B93" s="92" t="s">
        <v>174</v>
      </c>
      <c r="J93" s="90">
        <v>5</v>
      </c>
      <c r="K93" s="90">
        <v>5</v>
      </c>
      <c r="L93" s="90">
        <v>5</v>
      </c>
      <c r="M93" s="90">
        <v>5</v>
      </c>
      <c r="N93" s="90">
        <v>5</v>
      </c>
      <c r="O93" s="90">
        <v>5</v>
      </c>
      <c r="P93" s="90">
        <v>5</v>
      </c>
      <c r="Q93" s="99">
        <f>Q73-P73</f>
        <v>3</v>
      </c>
      <c r="R93" s="99">
        <f>R73-Q73</f>
        <v>3</v>
      </c>
      <c r="S93" s="99">
        <f>S73-R73</f>
        <v>2</v>
      </c>
      <c r="T93" s="99">
        <f>T73-S73</f>
        <v>5</v>
      </c>
    </row>
    <row r="94" spans="1:20" ht="18" hidden="1" customHeight="1"/>
    <row r="95" spans="1:20" ht="18" hidden="1" customHeight="1"/>
    <row r="96" spans="1:20" ht="18" hidden="1" customHeight="1"/>
    <row r="97" spans="2:20" ht="18" hidden="1" customHeight="1"/>
    <row r="98" spans="2:20" ht="18" hidden="1" customHeight="1"/>
    <row r="99" spans="2:20" ht="18" hidden="1" customHeight="1"/>
    <row r="100" spans="2:20" ht="18" hidden="1" customHeight="1"/>
    <row r="101" spans="2:20" ht="18" hidden="1" customHeight="1">
      <c r="J101" s="90">
        <v>0.77</v>
      </c>
      <c r="K101" s="90">
        <v>0.77</v>
      </c>
      <c r="L101" s="90">
        <v>0.77</v>
      </c>
      <c r="M101" s="90">
        <v>0.77</v>
      </c>
      <c r="N101" s="90">
        <v>0.77</v>
      </c>
      <c r="O101" s="90">
        <v>0.77</v>
      </c>
      <c r="P101" s="90">
        <v>0.77</v>
      </c>
      <c r="Q101" s="90">
        <v>0.77</v>
      </c>
      <c r="R101" s="90">
        <v>0.77</v>
      </c>
      <c r="S101" s="90">
        <v>0.77</v>
      </c>
      <c r="T101" s="90">
        <v>0.77</v>
      </c>
    </row>
    <row r="102" spans="2:20" ht="18" hidden="1" customHeight="1">
      <c r="J102" s="90">
        <v>0.57999999999999996</v>
      </c>
      <c r="K102" s="90">
        <v>0.57999999999999996</v>
      </c>
      <c r="L102" s="90">
        <v>0.57999999999999996</v>
      </c>
      <c r="M102" s="90">
        <v>0.57999999999999996</v>
      </c>
      <c r="N102" s="90">
        <v>0.57999999999999996</v>
      </c>
      <c r="O102" s="90">
        <v>0.57999999999999996</v>
      </c>
      <c r="P102" s="90">
        <v>0.57999999999999996</v>
      </c>
      <c r="Q102" s="90">
        <v>0.57999999999999996</v>
      </c>
      <c r="R102" s="90">
        <v>0.57999999999999996</v>
      </c>
      <c r="S102" s="90">
        <v>0.57999999999999996</v>
      </c>
      <c r="T102" s="90">
        <v>0.57999999999999996</v>
      </c>
    </row>
    <row r="103" spans="2:20" ht="18" hidden="1" customHeight="1">
      <c r="F103" s="90">
        <f>(G103+H103+I103)/3</f>
        <v>0.58642240849159966</v>
      </c>
      <c r="G103" s="90">
        <f>G23/G22</f>
        <v>0.53884333189469136</v>
      </c>
      <c r="H103" s="90">
        <f>H23/H22</f>
        <v>0.59486645855012144</v>
      </c>
      <c r="I103" s="90">
        <f>I23/I22</f>
        <v>0.62555743502998618</v>
      </c>
      <c r="J103" s="90">
        <f>J102+J102*0.015</f>
        <v>0.5887</v>
      </c>
      <c r="K103" s="90">
        <f>J103+J103*0.015</f>
        <v>0.59753049999999996</v>
      </c>
      <c r="L103" s="90">
        <f t="shared" ref="L103:T103" si="46">K103+K103*0.015</f>
        <v>0.60649345749999994</v>
      </c>
      <c r="M103" s="90">
        <f t="shared" si="46"/>
        <v>0.61559085936249991</v>
      </c>
      <c r="N103" s="90">
        <f t="shared" si="46"/>
        <v>0.62482472225293739</v>
      </c>
      <c r="O103" s="90">
        <f t="shared" si="46"/>
        <v>0.63419709308673144</v>
      </c>
      <c r="P103" s="90">
        <f t="shared" si="46"/>
        <v>0.64371004948303245</v>
      </c>
      <c r="Q103" s="90">
        <f t="shared" si="46"/>
        <v>0.65336570022527796</v>
      </c>
      <c r="R103" s="90">
        <f t="shared" si="46"/>
        <v>0.66316618572865715</v>
      </c>
      <c r="S103" s="90">
        <f t="shared" si="46"/>
        <v>0.67311367851458703</v>
      </c>
      <c r="T103" s="90">
        <f t="shared" si="46"/>
        <v>0.6832103836923058</v>
      </c>
    </row>
    <row r="104" spans="2:20" ht="18" hidden="1" customHeight="1">
      <c r="F104" s="90">
        <f>(G104+H104+I104)/3</f>
        <v>0.7680106747142208</v>
      </c>
      <c r="G104" s="90">
        <f>G27/G26</f>
        <v>0.72563492714398969</v>
      </c>
      <c r="H104" s="90">
        <f>H27/H26</f>
        <v>0.79666065689425414</v>
      </c>
      <c r="I104" s="90">
        <f>I27/I26</f>
        <v>0.78173644010441845</v>
      </c>
      <c r="J104" s="90">
        <f>J101+J101*0.015</f>
        <v>0.78154999999999997</v>
      </c>
      <c r="K104" s="90">
        <f t="shared" ref="K104:T104" si="47">K101+K101*0.015</f>
        <v>0.78154999999999997</v>
      </c>
      <c r="L104" s="90">
        <f t="shared" si="47"/>
        <v>0.78154999999999997</v>
      </c>
      <c r="M104" s="90">
        <f t="shared" si="47"/>
        <v>0.78154999999999997</v>
      </c>
      <c r="N104" s="90">
        <f t="shared" si="47"/>
        <v>0.78154999999999997</v>
      </c>
      <c r="O104" s="90">
        <f t="shared" si="47"/>
        <v>0.78154999999999997</v>
      </c>
      <c r="P104" s="90">
        <f t="shared" si="47"/>
        <v>0.78154999999999997</v>
      </c>
      <c r="Q104" s="90">
        <f t="shared" si="47"/>
        <v>0.78154999999999997</v>
      </c>
      <c r="R104" s="90">
        <f t="shared" si="47"/>
        <v>0.78154999999999997</v>
      </c>
      <c r="S104" s="90">
        <f t="shared" si="47"/>
        <v>0.78154999999999997</v>
      </c>
      <c r="T104" s="90">
        <f t="shared" si="47"/>
        <v>0.78154999999999997</v>
      </c>
    </row>
    <row r="105" spans="2:20" ht="18" hidden="1" customHeight="1">
      <c r="F105" s="90">
        <f>(G105+H105+I105)/3</f>
        <v>0.77389498369695742</v>
      </c>
      <c r="G105" s="90">
        <f>G31/G30</f>
        <v>0.72028849169018505</v>
      </c>
      <c r="H105" s="90">
        <f>H31/H30</f>
        <v>0.80352016920985048</v>
      </c>
      <c r="I105" s="90">
        <f>I31/I30</f>
        <v>0.79787629019083683</v>
      </c>
    </row>
    <row r="106" spans="2:20" ht="18" hidden="1" customHeight="1"/>
    <row r="107" spans="2:20" ht="19.5" customHeight="1">
      <c r="B107" s="151" t="s">
        <v>106</v>
      </c>
      <c r="E107" s="99"/>
      <c r="F107" s="99"/>
      <c r="G107" s="99"/>
      <c r="H107" s="99"/>
      <c r="I107" s="99"/>
      <c r="J107" s="99">
        <f t="shared" ref="J107:S107" si="48">J61-I61</f>
        <v>207</v>
      </c>
      <c r="K107" s="99">
        <f t="shared" si="48"/>
        <v>185</v>
      </c>
      <c r="L107" s="99">
        <f t="shared" si="48"/>
        <v>40</v>
      </c>
      <c r="M107" s="99">
        <f t="shared" si="48"/>
        <v>40</v>
      </c>
      <c r="N107" s="99">
        <f t="shared" si="48"/>
        <v>40</v>
      </c>
      <c r="O107" s="99">
        <f t="shared" si="48"/>
        <v>100</v>
      </c>
      <c r="P107" s="99">
        <f t="shared" si="48"/>
        <v>100</v>
      </c>
      <c r="Q107" s="99">
        <f t="shared" si="48"/>
        <v>100</v>
      </c>
      <c r="R107" s="99">
        <f t="shared" si="48"/>
        <v>100</v>
      </c>
      <c r="S107" s="99">
        <f t="shared" si="48"/>
        <v>100</v>
      </c>
      <c r="T107" s="99">
        <f>T61-S61</f>
        <v>150</v>
      </c>
    </row>
    <row r="108" spans="2:20" ht="26.25" customHeight="1">
      <c r="B108" s="97" t="s">
        <v>147</v>
      </c>
      <c r="J108" s="99">
        <f t="shared" ref="J108:S108" si="49">J64-I64</f>
        <v>5</v>
      </c>
      <c r="K108" s="99">
        <f t="shared" si="49"/>
        <v>8</v>
      </c>
      <c r="L108" s="99">
        <f t="shared" si="49"/>
        <v>8</v>
      </c>
      <c r="M108" s="99">
        <f t="shared" si="49"/>
        <v>10</v>
      </c>
      <c r="N108" s="99">
        <f t="shared" si="49"/>
        <v>10</v>
      </c>
      <c r="O108" s="99">
        <f t="shared" si="49"/>
        <v>10</v>
      </c>
      <c r="P108" s="99">
        <f t="shared" si="49"/>
        <v>10</v>
      </c>
      <c r="Q108" s="99">
        <f t="shared" si="49"/>
        <v>10</v>
      </c>
      <c r="R108" s="99">
        <f t="shared" si="49"/>
        <v>10</v>
      </c>
      <c r="S108" s="99">
        <f t="shared" si="49"/>
        <v>10</v>
      </c>
      <c r="T108" s="99">
        <f>T64-S64</f>
        <v>50</v>
      </c>
    </row>
    <row r="109" spans="2:20" ht="18" customHeight="1">
      <c r="B109" s="154" t="s">
        <v>112</v>
      </c>
      <c r="J109" s="99">
        <f t="shared" ref="J109:S109" si="50">J67-I67</f>
        <v>20</v>
      </c>
      <c r="K109" s="99">
        <f t="shared" si="50"/>
        <v>25</v>
      </c>
      <c r="L109" s="99">
        <f t="shared" si="50"/>
        <v>25</v>
      </c>
      <c r="M109" s="99">
        <f t="shared" si="50"/>
        <v>25</v>
      </c>
      <c r="N109" s="99">
        <f t="shared" si="50"/>
        <v>25</v>
      </c>
      <c r="O109" s="99">
        <f t="shared" si="50"/>
        <v>30</v>
      </c>
      <c r="P109" s="99">
        <f t="shared" si="50"/>
        <v>30</v>
      </c>
      <c r="Q109" s="99">
        <f t="shared" si="50"/>
        <v>30</v>
      </c>
      <c r="R109" s="99">
        <f t="shared" si="50"/>
        <v>30</v>
      </c>
      <c r="S109" s="99">
        <f t="shared" si="50"/>
        <v>30</v>
      </c>
      <c r="T109" s="99">
        <f>T67-S67</f>
        <v>50</v>
      </c>
    </row>
    <row r="110" spans="2:20" ht="18" customHeight="1">
      <c r="B110" s="154" t="s">
        <v>145</v>
      </c>
      <c r="J110" s="99">
        <f t="shared" ref="J110:S110" si="51">J69-I69</f>
        <v>5</v>
      </c>
      <c r="K110" s="99">
        <f t="shared" si="51"/>
        <v>8</v>
      </c>
      <c r="L110" s="99">
        <f t="shared" si="51"/>
        <v>10</v>
      </c>
      <c r="M110" s="99">
        <f t="shared" si="51"/>
        <v>10</v>
      </c>
      <c r="N110" s="99">
        <f t="shared" si="51"/>
        <v>10</v>
      </c>
      <c r="O110" s="99">
        <f t="shared" si="51"/>
        <v>10</v>
      </c>
      <c r="P110" s="99">
        <f t="shared" si="51"/>
        <v>10</v>
      </c>
      <c r="Q110" s="99">
        <f t="shared" si="51"/>
        <v>20</v>
      </c>
      <c r="R110" s="99">
        <f t="shared" si="51"/>
        <v>20</v>
      </c>
      <c r="S110" s="99">
        <f t="shared" si="51"/>
        <v>30</v>
      </c>
      <c r="T110" s="99">
        <f>T69-S69</f>
        <v>20</v>
      </c>
    </row>
    <row r="111" spans="2:20" ht="18" hidden="1" customHeight="1">
      <c r="B111" s="151" t="s">
        <v>149</v>
      </c>
    </row>
    <row r="112" spans="2:20" ht="18" hidden="1" customHeight="1">
      <c r="B112" s="151" t="s">
        <v>583</v>
      </c>
    </row>
    <row r="113" spans="2:20" ht="18" hidden="1" customHeight="1">
      <c r="B113" s="151" t="s">
        <v>150</v>
      </c>
    </row>
    <row r="114" spans="2:20" ht="18" hidden="1" customHeight="1"/>
    <row r="115" spans="2:20" ht="18" hidden="1" customHeight="1">
      <c r="J115" s="90">
        <v>0.87</v>
      </c>
    </row>
    <row r="116" spans="2:20" ht="18" hidden="1" customHeight="1">
      <c r="F116" s="90">
        <f>(G116+H116+I116)/3</f>
        <v>87.1296152765063</v>
      </c>
      <c r="G116" s="90">
        <f>G24/G22*100</f>
        <v>85.390591281829956</v>
      </c>
      <c r="H116" s="90">
        <f>H24/H22*100</f>
        <v>85.639958376690956</v>
      </c>
      <c r="I116" s="90">
        <f>I24/I22*100</f>
        <v>90.358296170998003</v>
      </c>
      <c r="J116" s="90">
        <f>J115+J115*0.015</f>
        <v>0.88305</v>
      </c>
      <c r="K116" s="90">
        <f>J116+J116*0.01</f>
        <v>0.89188049999999996</v>
      </c>
      <c r="L116" s="90">
        <f t="shared" ref="L116:T116" si="52">K116+K116*0.01</f>
        <v>0.90079930499999994</v>
      </c>
      <c r="M116" s="90">
        <f t="shared" si="52"/>
        <v>0.90980729804999994</v>
      </c>
      <c r="N116" s="90">
        <f t="shared" si="52"/>
        <v>0.91890537103049996</v>
      </c>
      <c r="O116" s="90">
        <f t="shared" si="52"/>
        <v>0.92809442474080495</v>
      </c>
      <c r="P116" s="90">
        <f t="shared" si="52"/>
        <v>0.93737536898821294</v>
      </c>
      <c r="Q116" s="90">
        <f t="shared" si="52"/>
        <v>0.94674912267809508</v>
      </c>
      <c r="R116" s="90">
        <f t="shared" si="52"/>
        <v>0.956216613904876</v>
      </c>
      <c r="S116" s="90">
        <f t="shared" si="52"/>
        <v>0.96577878004392481</v>
      </c>
      <c r="T116" s="90">
        <f t="shared" si="52"/>
        <v>0.97543656784436406</v>
      </c>
    </row>
    <row r="117" spans="2:20" ht="18" hidden="1" customHeight="1">
      <c r="F117" s="90">
        <f>(G117+H117+I117)/3</f>
        <v>0.87163440914941537</v>
      </c>
      <c r="G117" s="90">
        <f>G28/G26</f>
        <v>0.72650974602914242</v>
      </c>
      <c r="H117" s="90">
        <f>H28/H26</f>
        <v>0.95053696010033706</v>
      </c>
      <c r="I117" s="90">
        <f>I28/I26</f>
        <v>0.93785652131876629</v>
      </c>
    </row>
    <row r="118" spans="2:20" ht="18" hidden="1" customHeight="1">
      <c r="F118" s="90">
        <f>(G118+H118+I118)/3</f>
        <v>0.94803416160215448</v>
      </c>
      <c r="G118" s="90">
        <f>G32/G30</f>
        <v>0.8673565380997178</v>
      </c>
      <c r="H118" s="90">
        <f>H32/H30</f>
        <v>0.99055748602507931</v>
      </c>
      <c r="I118" s="90">
        <f>I32/I30</f>
        <v>0.98618846068166632</v>
      </c>
    </row>
    <row r="119" spans="2:20" ht="18" hidden="1" customHeight="1">
      <c r="F119" s="90">
        <f>F22/F35</f>
        <v>16.904761904761905</v>
      </c>
      <c r="G119" s="90">
        <f>G22/G35</f>
        <v>16.609318996415769</v>
      </c>
      <c r="H119" s="90">
        <f>H22/H35</f>
        <v>17.851393188854487</v>
      </c>
      <c r="I119" s="90">
        <f>I22/I35</f>
        <v>17.865384615384617</v>
      </c>
    </row>
    <row r="120" spans="2:20" ht="18" hidden="1" customHeight="1">
      <c r="F120" s="90">
        <f>F26/F37</f>
        <v>21.745901639344261</v>
      </c>
      <c r="G120" s="90">
        <f>G26/G37</f>
        <v>22.195995145631066</v>
      </c>
      <c r="H120" s="90">
        <f>H26/H37</f>
        <v>22.903052064631957</v>
      </c>
      <c r="I120" s="90">
        <f>I26/I37</f>
        <v>24.194152046783625</v>
      </c>
    </row>
    <row r="121" spans="2:20" ht="18" hidden="1" customHeight="1">
      <c r="F121" s="90">
        <f>F30/F39</f>
        <v>16.091486658195681</v>
      </c>
      <c r="G121" s="90">
        <f>G30/G39</f>
        <v>13.835140997830802</v>
      </c>
      <c r="H121" s="90">
        <f>H30/H39</f>
        <v>13.775234131113423</v>
      </c>
      <c r="I121" s="90">
        <f>I30/I39</f>
        <v>14.574675324675324</v>
      </c>
    </row>
    <row r="122" spans="2:20" ht="18" hidden="1" customHeight="1"/>
    <row r="123" spans="2:20" ht="18" hidden="1" customHeight="1">
      <c r="D123" s="90">
        <f t="shared" ref="D123:I123" si="53">D30/D39</f>
        <v>15.145721925133691</v>
      </c>
      <c r="E123" s="90">
        <f t="shared" si="53"/>
        <v>15.573748308525033</v>
      </c>
      <c r="F123" s="90">
        <f t="shared" si="53"/>
        <v>16.091486658195681</v>
      </c>
      <c r="G123" s="90">
        <f t="shared" si="53"/>
        <v>13.835140997830802</v>
      </c>
      <c r="H123" s="90">
        <f t="shared" si="53"/>
        <v>13.775234131113423</v>
      </c>
      <c r="I123" s="90">
        <f t="shared" si="53"/>
        <v>14.574675324675324</v>
      </c>
    </row>
    <row r="124" spans="2:20" ht="18" hidden="1" customHeight="1">
      <c r="D124" s="90">
        <f t="shared" ref="D124:I124" si="54">D30/D125</f>
        <v>15.145721925133691</v>
      </c>
      <c r="E124" s="90">
        <f t="shared" si="54"/>
        <v>15.573748308525033</v>
      </c>
      <c r="F124" s="90">
        <f t="shared" si="54"/>
        <v>16.091486658195681</v>
      </c>
      <c r="G124" s="90">
        <f t="shared" si="54"/>
        <v>12.730538922155688</v>
      </c>
      <c r="H124" s="90">
        <f t="shared" si="54"/>
        <v>13.775234131113423</v>
      </c>
      <c r="I124" s="90">
        <f t="shared" si="54"/>
        <v>14.574675324675324</v>
      </c>
    </row>
    <row r="125" spans="2:20" ht="18" hidden="1" customHeight="1">
      <c r="D125" s="90">
        <v>748</v>
      </c>
      <c r="E125" s="90">
        <v>739</v>
      </c>
      <c r="F125" s="90">
        <v>787</v>
      </c>
      <c r="G125" s="90">
        <v>1002</v>
      </c>
      <c r="H125" s="90">
        <v>961</v>
      </c>
      <c r="I125" s="90">
        <v>924</v>
      </c>
    </row>
    <row r="126" spans="2:20" ht="18" hidden="1" customHeight="1"/>
    <row r="127" spans="2:20" ht="18" hidden="1" customHeight="1"/>
    <row r="128" spans="2:20" ht="18" customHeight="1">
      <c r="B128" s="151" t="s">
        <v>149</v>
      </c>
      <c r="J128" s="99">
        <f t="shared" ref="J128:S128" si="55">J69-I69</f>
        <v>5</v>
      </c>
      <c r="K128" s="99">
        <f t="shared" si="55"/>
        <v>8</v>
      </c>
      <c r="L128" s="99">
        <f t="shared" si="55"/>
        <v>10</v>
      </c>
      <c r="M128" s="99">
        <f t="shared" si="55"/>
        <v>10</v>
      </c>
      <c r="N128" s="99">
        <f t="shared" si="55"/>
        <v>10</v>
      </c>
      <c r="O128" s="99">
        <f t="shared" si="55"/>
        <v>10</v>
      </c>
      <c r="P128" s="99">
        <f t="shared" si="55"/>
        <v>10</v>
      </c>
      <c r="Q128" s="99">
        <f t="shared" si="55"/>
        <v>20</v>
      </c>
      <c r="R128" s="99">
        <f t="shared" si="55"/>
        <v>20</v>
      </c>
      <c r="S128" s="99">
        <f t="shared" si="55"/>
        <v>30</v>
      </c>
      <c r="T128" s="99">
        <f>T69-S69</f>
        <v>20</v>
      </c>
    </row>
    <row r="129" spans="2:20" ht="18" customHeight="1">
      <c r="B129" s="151" t="s">
        <v>583</v>
      </c>
      <c r="J129" s="99">
        <f t="shared" ref="J129:S129" si="56">J73-I73</f>
        <v>24</v>
      </c>
      <c r="K129" s="99">
        <f t="shared" si="56"/>
        <v>8</v>
      </c>
      <c r="L129" s="99">
        <f t="shared" si="56"/>
        <v>14</v>
      </c>
      <c r="M129" s="99">
        <f t="shared" si="56"/>
        <v>1</v>
      </c>
      <c r="N129" s="99">
        <f t="shared" si="56"/>
        <v>8</v>
      </c>
      <c r="O129" s="99">
        <f t="shared" si="56"/>
        <v>3</v>
      </c>
      <c r="P129" s="99">
        <f t="shared" si="56"/>
        <v>2</v>
      </c>
      <c r="Q129" s="99">
        <f t="shared" si="56"/>
        <v>3</v>
      </c>
      <c r="R129" s="99">
        <f t="shared" si="56"/>
        <v>3</v>
      </c>
      <c r="S129" s="99">
        <f t="shared" si="56"/>
        <v>2</v>
      </c>
      <c r="T129" s="99">
        <f>T73-S73</f>
        <v>5</v>
      </c>
    </row>
    <row r="130" spans="2:20" ht="18" customHeight="1">
      <c r="B130" s="151" t="s">
        <v>150</v>
      </c>
      <c r="J130" s="99">
        <f t="shared" ref="J130:S130" si="57">J76-I76</f>
        <v>21</v>
      </c>
      <c r="K130" s="99">
        <f t="shared" si="57"/>
        <v>10</v>
      </c>
      <c r="L130" s="99">
        <f t="shared" si="57"/>
        <v>8</v>
      </c>
      <c r="M130" s="99">
        <f t="shared" si="57"/>
        <v>2</v>
      </c>
      <c r="N130" s="99">
        <f t="shared" si="57"/>
        <v>9</v>
      </c>
      <c r="O130" s="99">
        <f t="shared" si="57"/>
        <v>1</v>
      </c>
      <c r="P130" s="99">
        <f t="shared" si="57"/>
        <v>5</v>
      </c>
      <c r="Q130" s="99">
        <f t="shared" si="57"/>
        <v>3</v>
      </c>
      <c r="R130" s="99">
        <f t="shared" si="57"/>
        <v>7</v>
      </c>
      <c r="S130" s="99">
        <f t="shared" si="57"/>
        <v>11</v>
      </c>
      <c r="T130" s="99">
        <f>T76-S76</f>
        <v>20</v>
      </c>
    </row>
    <row r="148" spans="4:11" ht="18" customHeight="1">
      <c r="D148" s="90">
        <f>D149/491*100</f>
        <v>100.20366598778003</v>
      </c>
    </row>
    <row r="149" spans="4:11" ht="18" customHeight="1">
      <c r="D149" s="90">
        <f>SUM(D150:D153)</f>
        <v>492</v>
      </c>
      <c r="E149" s="90">
        <f>SUM(E150:E153)</f>
        <v>563</v>
      </c>
      <c r="F149" s="90">
        <f>SUM(F150:F153)</f>
        <v>583</v>
      </c>
      <c r="G149" s="90">
        <f>SUM(G150:G153)</f>
        <v>617</v>
      </c>
    </row>
    <row r="150" spans="4:11" ht="18" customHeight="1">
      <c r="D150" s="90">
        <v>171</v>
      </c>
      <c r="E150" s="90">
        <v>202</v>
      </c>
      <c r="F150" s="90">
        <v>215</v>
      </c>
      <c r="G150" s="90">
        <v>236</v>
      </c>
    </row>
    <row r="151" spans="4:11" ht="18" customHeight="1">
      <c r="D151" s="90">
        <v>175</v>
      </c>
      <c r="E151" s="90">
        <v>185</v>
      </c>
      <c r="F151" s="90">
        <v>190</v>
      </c>
      <c r="G151" s="90">
        <v>200</v>
      </c>
    </row>
    <row r="152" spans="4:11" ht="18" customHeight="1">
      <c r="D152" s="90">
        <v>114</v>
      </c>
      <c r="E152" s="90">
        <v>141</v>
      </c>
      <c r="F152" s="90">
        <v>142</v>
      </c>
      <c r="G152" s="90">
        <v>143</v>
      </c>
      <c r="K152" s="90">
        <v>491</v>
      </c>
    </row>
    <row r="153" spans="4:11" ht="18" customHeight="1">
      <c r="D153" s="90">
        <v>32</v>
      </c>
      <c r="E153" s="90">
        <v>35</v>
      </c>
      <c r="F153" s="90">
        <v>36</v>
      </c>
      <c r="G153" s="90">
        <v>38</v>
      </c>
      <c r="K153" s="90">
        <f>K152*0.523</f>
        <v>256.79300000000001</v>
      </c>
    </row>
    <row r="156" spans="4:11" ht="18" customHeight="1">
      <c r="J156" s="90">
        <f>77+98+67+15</f>
        <v>257</v>
      </c>
      <c r="K156" s="90">
        <f>J156/491*100</f>
        <v>52.342158859470466</v>
      </c>
    </row>
  </sheetData>
  <mergeCells count="10">
    <mergeCell ref="U13:U20"/>
    <mergeCell ref="U8:U11"/>
    <mergeCell ref="A1:R1"/>
    <mergeCell ref="S1:T1"/>
    <mergeCell ref="B85:T85"/>
    <mergeCell ref="D2:I2"/>
    <mergeCell ref="J2:T2"/>
    <mergeCell ref="A2:A3"/>
    <mergeCell ref="B2:B3"/>
    <mergeCell ref="C2:C3"/>
  </mergeCells>
  <phoneticPr fontId="3" type="noConversion"/>
  <printOptions horizontalCentered="1"/>
  <pageMargins left="0.28000000000000003" right="0.18" top="0.51" bottom="0.43" header="0.26" footer="0.16"/>
  <pageSetup paperSize="8" orientation="landscape" blackAndWhite="1" horizontalDpi="300" verticalDpi="300" r:id="rId1"/>
  <headerFooter alignWithMargins="0">
    <oddFooter>&amp;C&amp;P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:AL109"/>
  <sheetViews>
    <sheetView zoomScale="70" workbookViewId="0">
      <pane xSplit="3" ySplit="3" topLeftCell="E64" activePane="bottomRight" state="frozen"/>
      <selection activeCell="J81" sqref="J81"/>
      <selection pane="topRight" activeCell="J81" sqref="J81"/>
      <selection pane="bottomLeft" activeCell="J81" sqref="J81"/>
      <selection pane="bottomRight" activeCell="J81" sqref="J81"/>
    </sheetView>
  </sheetViews>
  <sheetFormatPr defaultRowHeight="18" customHeight="1"/>
  <cols>
    <col min="1" max="1" width="3.5" style="105" customWidth="1"/>
    <col min="2" max="2" width="38" style="105" customWidth="1"/>
    <col min="3" max="3" width="7.75" style="106" customWidth="1"/>
    <col min="4" max="20" width="8" style="105" customWidth="1"/>
    <col min="21" max="35" width="0" style="105" hidden="1" customWidth="1"/>
    <col min="36" max="16384" width="9" style="105"/>
  </cols>
  <sheetData>
    <row r="1" spans="1:38" ht="27.75" customHeight="1">
      <c r="A1" s="788" t="s">
        <v>240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788"/>
      <c r="N1" s="788"/>
      <c r="O1" s="788"/>
      <c r="P1" s="788"/>
      <c r="Q1" s="788"/>
      <c r="R1" s="788"/>
      <c r="S1" s="789"/>
      <c r="T1" s="789"/>
    </row>
    <row r="2" spans="1:38" ht="28.5" customHeight="1">
      <c r="A2" s="781" t="s">
        <v>1</v>
      </c>
      <c r="B2" s="781" t="s">
        <v>2</v>
      </c>
      <c r="C2" s="781" t="s">
        <v>76</v>
      </c>
      <c r="D2" s="782" t="s">
        <v>175</v>
      </c>
      <c r="E2" s="782"/>
      <c r="F2" s="782"/>
      <c r="G2" s="782"/>
      <c r="H2" s="782"/>
      <c r="I2" s="782"/>
      <c r="J2" s="778" t="s">
        <v>176</v>
      </c>
      <c r="K2" s="779"/>
      <c r="L2" s="779"/>
      <c r="M2" s="779"/>
      <c r="N2" s="779"/>
      <c r="O2" s="779"/>
      <c r="P2" s="779"/>
      <c r="Q2" s="779"/>
      <c r="R2" s="779"/>
      <c r="S2" s="779"/>
      <c r="T2" s="780"/>
    </row>
    <row r="3" spans="1:38" ht="28.5" customHeight="1">
      <c r="A3" s="781"/>
      <c r="B3" s="781"/>
      <c r="C3" s="781"/>
      <c r="D3" s="107" t="s">
        <v>64</v>
      </c>
      <c r="E3" s="107" t="s">
        <v>65</v>
      </c>
      <c r="F3" s="107" t="s">
        <v>66</v>
      </c>
      <c r="G3" s="107" t="s">
        <v>67</v>
      </c>
      <c r="H3" s="107" t="s">
        <v>68</v>
      </c>
      <c r="I3" s="107" t="s">
        <v>69</v>
      </c>
      <c r="J3" s="107" t="s">
        <v>77</v>
      </c>
      <c r="K3" s="107" t="s">
        <v>78</v>
      </c>
      <c r="L3" s="107" t="s">
        <v>79</v>
      </c>
      <c r="M3" s="107" t="s">
        <v>80</v>
      </c>
      <c r="N3" s="107" t="s">
        <v>81</v>
      </c>
      <c r="O3" s="107" t="s">
        <v>82</v>
      </c>
      <c r="P3" s="107" t="s">
        <v>83</v>
      </c>
      <c r="Q3" s="107" t="s">
        <v>84</v>
      </c>
      <c r="R3" s="107" t="s">
        <v>85</v>
      </c>
      <c r="S3" s="107" t="s">
        <v>86</v>
      </c>
      <c r="T3" s="107" t="s">
        <v>87</v>
      </c>
      <c r="AJ3" s="105">
        <v>2020</v>
      </c>
      <c r="AK3" s="105">
        <v>2025</v>
      </c>
      <c r="AL3" s="105">
        <v>2030</v>
      </c>
    </row>
    <row r="4" spans="1:38" s="118" customFormat="1" ht="24.95" customHeight="1">
      <c r="A4" s="113">
        <v>1</v>
      </c>
      <c r="B4" s="115" t="s">
        <v>40</v>
      </c>
      <c r="C4" s="113" t="s">
        <v>88</v>
      </c>
      <c r="D4" s="116">
        <v>170</v>
      </c>
      <c r="E4" s="116">
        <v>173</v>
      </c>
      <c r="F4" s="116">
        <v>173</v>
      </c>
      <c r="G4" s="116">
        <v>173</v>
      </c>
      <c r="H4" s="116">
        <v>175</v>
      </c>
      <c r="I4" s="116">
        <v>175</v>
      </c>
      <c r="J4" s="116">
        <v>180</v>
      </c>
      <c r="K4" s="116">
        <v>183</v>
      </c>
      <c r="L4" s="116">
        <v>184</v>
      </c>
      <c r="M4" s="116">
        <v>186</v>
      </c>
      <c r="N4" s="116">
        <v>188</v>
      </c>
      <c r="O4" s="116">
        <v>189</v>
      </c>
      <c r="P4" s="116">
        <v>189</v>
      </c>
      <c r="Q4" s="116">
        <v>190</v>
      </c>
      <c r="R4" s="116">
        <v>190</v>
      </c>
      <c r="S4" s="116">
        <v>190</v>
      </c>
      <c r="T4" s="116">
        <v>202</v>
      </c>
      <c r="U4" s="117"/>
      <c r="AJ4" s="122">
        <f>N5/N4*100</f>
        <v>62.765957446808507</v>
      </c>
      <c r="AK4" s="122">
        <f>S5/S4*100</f>
        <v>68.421052631578945</v>
      </c>
      <c r="AL4" s="122">
        <f>T5/T4*100</f>
        <v>71.78217821782178</v>
      </c>
    </row>
    <row r="5" spans="1:38" s="122" customFormat="1" ht="24.95" customHeight="1">
      <c r="A5" s="113"/>
      <c r="B5" s="119" t="s">
        <v>89</v>
      </c>
      <c r="C5" s="120" t="s">
        <v>90</v>
      </c>
      <c r="D5" s="121">
        <v>51</v>
      </c>
      <c r="E5" s="121">
        <v>61</v>
      </c>
      <c r="F5" s="121">
        <v>67</v>
      </c>
      <c r="G5" s="121">
        <v>71</v>
      </c>
      <c r="H5" s="121">
        <v>93</v>
      </c>
      <c r="I5" s="121">
        <v>99</v>
      </c>
      <c r="J5" s="121">
        <v>104</v>
      </c>
      <c r="K5" s="121">
        <v>107</v>
      </c>
      <c r="L5" s="121">
        <v>110</v>
      </c>
      <c r="M5" s="121">
        <v>115</v>
      </c>
      <c r="N5" s="121">
        <v>118</v>
      </c>
      <c r="O5" s="121">
        <v>120</v>
      </c>
      <c r="P5" s="121">
        <v>123</v>
      </c>
      <c r="Q5" s="121">
        <v>126</v>
      </c>
      <c r="R5" s="121">
        <v>128</v>
      </c>
      <c r="S5" s="121">
        <v>130</v>
      </c>
      <c r="T5" s="121">
        <v>145</v>
      </c>
      <c r="U5" s="122" t="s">
        <v>178</v>
      </c>
      <c r="AJ5" s="617" t="s">
        <v>992</v>
      </c>
    </row>
    <row r="6" spans="1:38" s="122" customFormat="1" ht="24.95" customHeight="1">
      <c r="A6" s="113"/>
      <c r="B6" s="270" t="s">
        <v>179</v>
      </c>
      <c r="C6" s="120" t="s">
        <v>90</v>
      </c>
      <c r="D6" s="121">
        <v>0</v>
      </c>
      <c r="E6" s="121">
        <v>0</v>
      </c>
      <c r="F6" s="121">
        <v>0</v>
      </c>
      <c r="G6" s="121">
        <v>26</v>
      </c>
      <c r="H6" s="121">
        <v>43</v>
      </c>
      <c r="I6" s="121">
        <v>64</v>
      </c>
      <c r="J6" s="121">
        <v>65</v>
      </c>
      <c r="K6" s="121">
        <v>66</v>
      </c>
      <c r="L6" s="121">
        <v>68</v>
      </c>
      <c r="M6" s="121">
        <v>70</v>
      </c>
      <c r="N6" s="121">
        <v>71</v>
      </c>
      <c r="O6" s="121">
        <v>72</v>
      </c>
      <c r="P6" s="121">
        <v>73</v>
      </c>
      <c r="Q6" s="121">
        <v>74</v>
      </c>
      <c r="R6" s="121">
        <v>75</v>
      </c>
      <c r="S6" s="121">
        <v>76</v>
      </c>
      <c r="T6" s="121">
        <v>80</v>
      </c>
    </row>
    <row r="7" spans="1:38" s="122" customFormat="1" ht="24.95" customHeight="1">
      <c r="A7" s="113"/>
      <c r="B7" s="270" t="s">
        <v>180</v>
      </c>
      <c r="C7" s="120" t="s">
        <v>90</v>
      </c>
      <c r="D7" s="121">
        <v>0</v>
      </c>
      <c r="E7" s="121">
        <v>25</v>
      </c>
      <c r="F7" s="121">
        <v>40</v>
      </c>
      <c r="G7" s="121">
        <v>50</v>
      </c>
      <c r="H7" s="121">
        <v>52</v>
      </c>
      <c r="I7" s="121">
        <v>54</v>
      </c>
      <c r="J7" s="121">
        <v>55</v>
      </c>
      <c r="K7" s="121">
        <v>57</v>
      </c>
      <c r="L7" s="121">
        <v>58</v>
      </c>
      <c r="M7" s="121">
        <v>60</v>
      </c>
      <c r="N7" s="121">
        <v>61</v>
      </c>
      <c r="O7" s="121">
        <v>62</v>
      </c>
      <c r="P7" s="121">
        <v>63</v>
      </c>
      <c r="Q7" s="121">
        <v>64</v>
      </c>
      <c r="R7" s="121">
        <v>65</v>
      </c>
      <c r="S7" s="121">
        <v>66</v>
      </c>
      <c r="T7" s="121">
        <v>70</v>
      </c>
      <c r="U7" s="122" t="s">
        <v>181</v>
      </c>
    </row>
    <row r="8" spans="1:38" s="122" customFormat="1" ht="24.95" customHeight="1">
      <c r="A8" s="113"/>
      <c r="B8" s="270" t="s">
        <v>182</v>
      </c>
      <c r="C8" s="120" t="s">
        <v>91</v>
      </c>
      <c r="D8" s="125">
        <v>801</v>
      </c>
      <c r="E8" s="125">
        <v>801</v>
      </c>
      <c r="F8" s="125">
        <v>802</v>
      </c>
      <c r="G8" s="125">
        <v>802</v>
      </c>
      <c r="H8" s="125">
        <v>804</v>
      </c>
      <c r="I8" s="125">
        <v>804</v>
      </c>
      <c r="J8" s="125">
        <v>806</v>
      </c>
      <c r="K8" s="125">
        <v>806</v>
      </c>
      <c r="L8" s="125">
        <v>808</v>
      </c>
      <c r="M8" s="125">
        <v>808</v>
      </c>
      <c r="N8" s="125">
        <v>810</v>
      </c>
      <c r="O8" s="125">
        <v>812</v>
      </c>
      <c r="P8" s="125">
        <v>814</v>
      </c>
      <c r="Q8" s="125">
        <v>816</v>
      </c>
      <c r="R8" s="125">
        <v>818</v>
      </c>
      <c r="S8" s="125">
        <v>820</v>
      </c>
      <c r="T8" s="125">
        <v>825</v>
      </c>
    </row>
    <row r="9" spans="1:38" s="122" customFormat="1" ht="24.95" customHeight="1">
      <c r="A9" s="113">
        <v>2</v>
      </c>
      <c r="B9" s="126" t="s">
        <v>92</v>
      </c>
      <c r="C9" s="113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</row>
    <row r="10" spans="1:38" s="122" customFormat="1" ht="24.95" customHeight="1">
      <c r="A10" s="120" t="s">
        <v>586</v>
      </c>
      <c r="B10" s="119" t="s">
        <v>183</v>
      </c>
      <c r="C10" s="120" t="s">
        <v>94</v>
      </c>
      <c r="D10" s="125">
        <v>11314</v>
      </c>
      <c r="E10" s="125">
        <v>11675</v>
      </c>
      <c r="F10" s="125">
        <v>11936</v>
      </c>
      <c r="G10" s="125">
        <v>12099</v>
      </c>
      <c r="H10" s="127">
        <v>12483.200799999999</v>
      </c>
      <c r="I10" s="127">
        <v>12708.611999999999</v>
      </c>
      <c r="J10" s="127">
        <v>12931.9352</v>
      </c>
      <c r="K10" s="127">
        <v>13152.474399999999</v>
      </c>
      <c r="L10" s="127">
        <v>13370.832799999998</v>
      </c>
      <c r="M10" s="127">
        <v>13610.071199999998</v>
      </c>
      <c r="N10" s="127">
        <v>13844.901599999999</v>
      </c>
      <c r="O10" s="127">
        <v>14077.017599999999</v>
      </c>
      <c r="P10" s="127">
        <v>14306.952799999999</v>
      </c>
      <c r="Q10" s="127">
        <v>14534.451999999999</v>
      </c>
      <c r="R10" s="127">
        <v>14760.234399999999</v>
      </c>
      <c r="S10" s="127">
        <v>14992.582399999999</v>
      </c>
      <c r="T10" s="127">
        <v>16224.270399999999</v>
      </c>
      <c r="U10" s="122" t="s">
        <v>184</v>
      </c>
    </row>
    <row r="11" spans="1:38" s="122" customFormat="1" ht="24.95" customHeight="1">
      <c r="A11" s="120" t="s">
        <v>587</v>
      </c>
      <c r="B11" s="119" t="s">
        <v>185</v>
      </c>
      <c r="C11" s="120" t="s">
        <v>90</v>
      </c>
      <c r="D11" s="125">
        <v>52163</v>
      </c>
      <c r="E11" s="125">
        <v>55814</v>
      </c>
      <c r="F11" s="125">
        <v>56758</v>
      </c>
      <c r="G11" s="125">
        <v>58382</v>
      </c>
      <c r="H11" s="127">
        <v>61232.25220000001</v>
      </c>
      <c r="I11" s="127">
        <v>62337.933000000005</v>
      </c>
      <c r="J11" s="127">
        <v>63433.371800000008</v>
      </c>
      <c r="K11" s="127">
        <v>64515.154600000009</v>
      </c>
      <c r="L11" s="127">
        <v>65586.2402</v>
      </c>
      <c r="M11" s="127">
        <v>66759.745800000004</v>
      </c>
      <c r="N11" s="127">
        <v>67911.629400000005</v>
      </c>
      <c r="O11" s="127">
        <v>69050.198400000008</v>
      </c>
      <c r="P11" s="127">
        <v>70178.070200000002</v>
      </c>
      <c r="Q11" s="127">
        <v>71293.993000000002</v>
      </c>
      <c r="R11" s="127">
        <v>72401.494600000005</v>
      </c>
      <c r="S11" s="127">
        <v>73541.201600000015</v>
      </c>
      <c r="T11" s="127">
        <v>79582.843600000007</v>
      </c>
      <c r="U11" s="122" t="s">
        <v>184</v>
      </c>
    </row>
    <row r="12" spans="1:38" s="122" customFormat="1" ht="24.95" customHeight="1">
      <c r="A12" s="113">
        <v>3</v>
      </c>
      <c r="B12" s="101" t="s">
        <v>98</v>
      </c>
      <c r="C12" s="102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</row>
    <row r="13" spans="1:38" s="122" customFormat="1" ht="24.95" customHeight="1">
      <c r="A13" s="120" t="s">
        <v>589</v>
      </c>
      <c r="B13" s="119" t="s">
        <v>186</v>
      </c>
      <c r="C13" s="120" t="s">
        <v>100</v>
      </c>
      <c r="D13" s="128">
        <v>99.1</v>
      </c>
      <c r="E13" s="128">
        <v>99.3</v>
      </c>
      <c r="F13" s="128">
        <v>99.5</v>
      </c>
      <c r="G13" s="128">
        <v>99.6</v>
      </c>
      <c r="H13" s="128">
        <v>99.6</v>
      </c>
      <c r="I13" s="129">
        <v>99.63</v>
      </c>
      <c r="J13" s="128">
        <v>99.7</v>
      </c>
      <c r="K13" s="128">
        <v>99.7</v>
      </c>
      <c r="L13" s="128">
        <v>99.8</v>
      </c>
      <c r="M13" s="128">
        <v>99.8</v>
      </c>
      <c r="N13" s="128">
        <v>99.8</v>
      </c>
      <c r="O13" s="128">
        <v>99.9</v>
      </c>
      <c r="P13" s="128">
        <v>99.9</v>
      </c>
      <c r="Q13" s="128">
        <v>99.9</v>
      </c>
      <c r="R13" s="128">
        <v>99.9</v>
      </c>
      <c r="S13" s="128">
        <v>99.9</v>
      </c>
      <c r="T13" s="128">
        <v>99.9</v>
      </c>
    </row>
    <row r="14" spans="1:38" s="122" customFormat="1" ht="24.95" customHeight="1">
      <c r="A14" s="120" t="s">
        <v>590</v>
      </c>
      <c r="B14" s="119" t="s">
        <v>187</v>
      </c>
      <c r="C14" s="120" t="s">
        <v>100</v>
      </c>
      <c r="D14" s="128">
        <v>99.2</v>
      </c>
      <c r="E14" s="128">
        <v>99.3</v>
      </c>
      <c r="F14" s="128">
        <v>99.3</v>
      </c>
      <c r="G14" s="128">
        <v>99.2</v>
      </c>
      <c r="H14" s="128">
        <v>99.2</v>
      </c>
      <c r="I14" s="128">
        <v>99.2</v>
      </c>
      <c r="J14" s="128">
        <v>99.3</v>
      </c>
      <c r="K14" s="128">
        <v>99.4</v>
      </c>
      <c r="L14" s="128">
        <v>99.4</v>
      </c>
      <c r="M14" s="128">
        <v>99.5</v>
      </c>
      <c r="N14" s="128">
        <v>99.5</v>
      </c>
      <c r="O14" s="128">
        <v>99.5</v>
      </c>
      <c r="P14" s="128">
        <v>99.6</v>
      </c>
      <c r="Q14" s="128">
        <v>99.6</v>
      </c>
      <c r="R14" s="128">
        <v>99.7</v>
      </c>
      <c r="S14" s="128">
        <v>99.7</v>
      </c>
      <c r="T14" s="128">
        <v>99.8</v>
      </c>
      <c r="U14" s="122">
        <f>T25/T4</f>
        <v>399.84469291900996</v>
      </c>
      <c r="V14" s="122">
        <f>I25/I4</f>
        <v>356.49142857142857</v>
      </c>
      <c r="X14" s="122">
        <f>55664/63622</f>
        <v>0.87491748137436731</v>
      </c>
    </row>
    <row r="15" spans="1:38" s="122" customFormat="1" ht="24.95" customHeight="1">
      <c r="A15" s="120" t="s">
        <v>591</v>
      </c>
      <c r="B15" s="100" t="s">
        <v>188</v>
      </c>
      <c r="C15" s="120" t="s">
        <v>100</v>
      </c>
      <c r="D15" s="130">
        <v>47.4</v>
      </c>
      <c r="E15" s="130">
        <v>47.4</v>
      </c>
      <c r="F15" s="130">
        <v>47.5</v>
      </c>
      <c r="G15" s="130">
        <v>47.6</v>
      </c>
      <c r="H15" s="130">
        <v>47.6</v>
      </c>
      <c r="I15" s="130">
        <v>47.8</v>
      </c>
      <c r="J15" s="130">
        <v>47.8</v>
      </c>
      <c r="K15" s="130">
        <v>47.9</v>
      </c>
      <c r="L15" s="130">
        <v>47.9</v>
      </c>
      <c r="M15" s="130">
        <v>48</v>
      </c>
      <c r="N15" s="130">
        <v>48.1</v>
      </c>
      <c r="O15" s="130">
        <v>48.2</v>
      </c>
      <c r="P15" s="130">
        <v>48.2</v>
      </c>
      <c r="Q15" s="130">
        <v>48.3</v>
      </c>
      <c r="R15" s="130">
        <v>48.3</v>
      </c>
      <c r="S15" s="130">
        <v>48.3</v>
      </c>
      <c r="T15" s="125">
        <v>48.5</v>
      </c>
    </row>
    <row r="16" spans="1:38" s="122" customFormat="1" ht="24.95" customHeight="1">
      <c r="A16" s="120" t="s">
        <v>592</v>
      </c>
      <c r="B16" s="100" t="s">
        <v>189</v>
      </c>
      <c r="C16" s="120" t="s">
        <v>100</v>
      </c>
      <c r="D16" s="130">
        <v>87.1</v>
      </c>
      <c r="E16" s="130">
        <v>87.1</v>
      </c>
      <c r="F16" s="130">
        <v>87.1</v>
      </c>
      <c r="G16" s="130">
        <v>87.1</v>
      </c>
      <c r="H16" s="130">
        <v>87.2</v>
      </c>
      <c r="I16" s="130">
        <v>87.2</v>
      </c>
      <c r="J16" s="130">
        <v>87.2</v>
      </c>
      <c r="K16" s="130">
        <v>87.2</v>
      </c>
      <c r="L16" s="130">
        <v>87.2</v>
      </c>
      <c r="M16" s="130">
        <v>87.2</v>
      </c>
      <c r="N16" s="130">
        <v>87.3</v>
      </c>
      <c r="O16" s="130">
        <v>87.3</v>
      </c>
      <c r="P16" s="130">
        <v>87.3</v>
      </c>
      <c r="Q16" s="130">
        <v>87.3</v>
      </c>
      <c r="R16" s="130">
        <v>87.3</v>
      </c>
      <c r="S16" s="130">
        <v>87.4</v>
      </c>
      <c r="T16" s="130">
        <v>87.4</v>
      </c>
      <c r="X16" s="122" t="s">
        <v>190</v>
      </c>
    </row>
    <row r="17" spans="1:36" s="122" customFormat="1" ht="24.95" customHeight="1">
      <c r="A17" s="120" t="s">
        <v>593</v>
      </c>
      <c r="B17" s="100" t="s">
        <v>191</v>
      </c>
      <c r="C17" s="120" t="s">
        <v>100</v>
      </c>
      <c r="D17" s="130">
        <v>88.3</v>
      </c>
      <c r="E17" s="130">
        <v>70.8</v>
      </c>
      <c r="F17" s="130">
        <v>71.5</v>
      </c>
      <c r="G17" s="130">
        <v>73.2</v>
      </c>
      <c r="H17" s="130">
        <v>74.599999999999994</v>
      </c>
      <c r="I17" s="130">
        <v>75</v>
      </c>
      <c r="J17" s="130">
        <v>76.2</v>
      </c>
      <c r="K17" s="130">
        <v>77.5</v>
      </c>
      <c r="L17" s="130">
        <v>78.400000000000006</v>
      </c>
      <c r="M17" s="130">
        <v>79.2</v>
      </c>
      <c r="N17" s="130">
        <v>80</v>
      </c>
      <c r="O17" s="130">
        <v>81</v>
      </c>
      <c r="P17" s="130">
        <v>82.5</v>
      </c>
      <c r="Q17" s="130">
        <v>83.6</v>
      </c>
      <c r="R17" s="130">
        <v>84.7</v>
      </c>
      <c r="S17" s="130">
        <v>85</v>
      </c>
      <c r="T17" s="130">
        <v>90</v>
      </c>
      <c r="X17" s="122" t="s">
        <v>192</v>
      </c>
    </row>
    <row r="18" spans="1:36" s="122" customFormat="1" ht="24.95" customHeight="1">
      <c r="A18" s="120" t="s">
        <v>594</v>
      </c>
      <c r="B18" s="100" t="s">
        <v>193</v>
      </c>
      <c r="C18" s="120" t="s">
        <v>100</v>
      </c>
      <c r="D18" s="130">
        <f>D25/D23*100</f>
        <v>47.266524667948119</v>
      </c>
      <c r="E18" s="130">
        <f>E25/E23*100</f>
        <v>50.21603697749196</v>
      </c>
      <c r="F18" s="130">
        <v>70.400000000000006</v>
      </c>
      <c r="G18" s="130">
        <v>76.2</v>
      </c>
      <c r="H18" s="130">
        <v>81.5</v>
      </c>
      <c r="I18" s="130">
        <v>96.5</v>
      </c>
      <c r="J18" s="130">
        <v>97</v>
      </c>
      <c r="K18" s="130">
        <v>97.5</v>
      </c>
      <c r="L18" s="130">
        <v>97.8</v>
      </c>
      <c r="M18" s="130">
        <v>98</v>
      </c>
      <c r="N18" s="130">
        <v>98.5</v>
      </c>
      <c r="O18" s="130">
        <v>98.8</v>
      </c>
      <c r="P18" s="130">
        <v>99</v>
      </c>
      <c r="Q18" s="130">
        <v>99.2</v>
      </c>
      <c r="R18" s="130">
        <v>99.4</v>
      </c>
      <c r="S18" s="606">
        <v>99.5</v>
      </c>
      <c r="T18" s="606">
        <v>99.5</v>
      </c>
      <c r="X18" s="114" t="s">
        <v>194</v>
      </c>
      <c r="AJ18" s="608" t="s">
        <v>990</v>
      </c>
    </row>
    <row r="19" spans="1:36" s="122" customFormat="1" ht="24.95" customHeight="1">
      <c r="A19" s="120" t="s">
        <v>595</v>
      </c>
      <c r="B19" s="119" t="s">
        <v>195</v>
      </c>
      <c r="C19" s="120" t="s">
        <v>100</v>
      </c>
      <c r="D19" s="130">
        <v>99.68</v>
      </c>
      <c r="E19" s="131">
        <v>99.7</v>
      </c>
      <c r="F19" s="131">
        <v>99.72</v>
      </c>
      <c r="G19" s="131">
        <v>99.72</v>
      </c>
      <c r="H19" s="131">
        <v>99.73</v>
      </c>
      <c r="I19" s="131">
        <v>99.73</v>
      </c>
      <c r="J19" s="131">
        <v>99.74</v>
      </c>
      <c r="K19" s="131">
        <v>99.74</v>
      </c>
      <c r="L19" s="131">
        <v>99.75</v>
      </c>
      <c r="M19" s="131">
        <v>99.75</v>
      </c>
      <c r="N19" s="131">
        <v>99.76</v>
      </c>
      <c r="O19" s="131">
        <v>99.76</v>
      </c>
      <c r="P19" s="131">
        <v>99.77</v>
      </c>
      <c r="Q19" s="131">
        <v>99.77</v>
      </c>
      <c r="R19" s="131">
        <v>99.78</v>
      </c>
      <c r="S19" s="131">
        <v>99.8</v>
      </c>
      <c r="T19" s="131">
        <v>99.85</v>
      </c>
    </row>
    <row r="20" spans="1:36" s="122" customFormat="1" ht="24.95" customHeight="1">
      <c r="A20" s="120" t="s">
        <v>596</v>
      </c>
      <c r="B20" s="119" t="s">
        <v>196</v>
      </c>
      <c r="C20" s="120" t="s">
        <v>100</v>
      </c>
      <c r="D20" s="130">
        <v>0.11999999999999317</v>
      </c>
      <c r="E20" s="130">
        <v>0.11999999999999716</v>
      </c>
      <c r="F20" s="130">
        <v>0.10000000000000114</v>
      </c>
      <c r="G20" s="130">
        <v>0.12000000000000113</v>
      </c>
      <c r="H20" s="130">
        <v>0.11999999999999603</v>
      </c>
      <c r="I20" s="130">
        <v>0.11999999999999603</v>
      </c>
      <c r="J20" s="130">
        <v>0.1200000000000051</v>
      </c>
      <c r="K20" s="130">
        <v>0.13000000000000511</v>
      </c>
      <c r="L20" s="130">
        <v>0.13</v>
      </c>
      <c r="M20" s="130">
        <v>0.14000000000000001</v>
      </c>
      <c r="N20" s="130">
        <v>0.13999999999999488</v>
      </c>
      <c r="O20" s="130">
        <v>0.13999999999999488</v>
      </c>
      <c r="P20" s="130">
        <v>0.15000000000000396</v>
      </c>
      <c r="Q20" s="130">
        <v>0.16000000000000397</v>
      </c>
      <c r="R20" s="130">
        <v>0.15999999999999887</v>
      </c>
      <c r="S20" s="130">
        <v>0.15000000000000285</v>
      </c>
      <c r="T20" s="130">
        <v>0.10000000000000568</v>
      </c>
    </row>
    <row r="21" spans="1:36" s="122" customFormat="1" ht="24.95" customHeight="1">
      <c r="A21" s="120" t="s">
        <v>632</v>
      </c>
      <c r="B21" s="119" t="s">
        <v>197</v>
      </c>
      <c r="C21" s="120" t="s">
        <v>100</v>
      </c>
      <c r="D21" s="130">
        <v>95</v>
      </c>
      <c r="E21" s="130">
        <v>95.8</v>
      </c>
      <c r="F21" s="130">
        <v>96.5</v>
      </c>
      <c r="G21" s="130">
        <v>97.8</v>
      </c>
      <c r="H21" s="130">
        <v>98.5</v>
      </c>
      <c r="I21" s="130">
        <f>H21+0.1</f>
        <v>98.6</v>
      </c>
      <c r="J21" s="130">
        <f>I21+0.1</f>
        <v>98.699999999999989</v>
      </c>
      <c r="K21" s="130">
        <f>J21+0.1</f>
        <v>98.799999999999983</v>
      </c>
      <c r="L21" s="130">
        <f>K21+0.1</f>
        <v>98.899999999999977</v>
      </c>
      <c r="M21" s="130">
        <f>L21+0.1</f>
        <v>98.999999999999972</v>
      </c>
      <c r="N21" s="131">
        <v>99.2</v>
      </c>
      <c r="O21" s="131">
        <v>99.25</v>
      </c>
      <c r="P21" s="131">
        <v>99.3</v>
      </c>
      <c r="Q21" s="131">
        <v>99.35</v>
      </c>
      <c r="R21" s="131">
        <v>99.4</v>
      </c>
      <c r="S21" s="130">
        <v>99.5</v>
      </c>
      <c r="T21" s="130">
        <v>99.7</v>
      </c>
    </row>
    <row r="22" spans="1:36" s="122" customFormat="1" ht="24.95" customHeight="1">
      <c r="A22" s="120" t="s">
        <v>633</v>
      </c>
      <c r="B22" s="119" t="s">
        <v>198</v>
      </c>
      <c r="C22" s="120" t="s">
        <v>100</v>
      </c>
      <c r="D22" s="130">
        <v>0.22</v>
      </c>
      <c r="E22" s="131">
        <v>0.21</v>
      </c>
      <c r="F22" s="131">
        <v>0.18</v>
      </c>
      <c r="G22" s="131">
        <v>0.18</v>
      </c>
      <c r="H22" s="131">
        <v>0.17</v>
      </c>
      <c r="I22" s="131">
        <v>0.17</v>
      </c>
      <c r="J22" s="131">
        <v>0.17</v>
      </c>
      <c r="K22" s="131">
        <v>0.16</v>
      </c>
      <c r="L22" s="131">
        <v>0.16</v>
      </c>
      <c r="M22" s="131">
        <v>0.16</v>
      </c>
      <c r="N22" s="131">
        <v>0.15</v>
      </c>
      <c r="O22" s="131">
        <v>0.15</v>
      </c>
      <c r="P22" s="131">
        <v>0.15</v>
      </c>
      <c r="Q22" s="131">
        <v>0.14000000000000001</v>
      </c>
      <c r="R22" s="131">
        <v>0.14000000000000001</v>
      </c>
      <c r="S22" s="131">
        <v>0.13</v>
      </c>
      <c r="T22" s="125">
        <v>0.1</v>
      </c>
    </row>
    <row r="23" spans="1:36" s="122" customFormat="1" ht="24.95" customHeight="1">
      <c r="A23" s="113">
        <v>4</v>
      </c>
      <c r="B23" s="115" t="s">
        <v>199</v>
      </c>
      <c r="C23" s="120" t="s">
        <v>94</v>
      </c>
      <c r="D23" s="125">
        <v>57747</v>
      </c>
      <c r="E23" s="125">
        <v>59712</v>
      </c>
      <c r="F23" s="125">
        <v>61665</v>
      </c>
      <c r="G23" s="125">
        <v>63281</v>
      </c>
      <c r="H23" s="125">
        <v>63740</v>
      </c>
      <c r="I23" s="125">
        <v>64595</v>
      </c>
      <c r="J23" s="125">
        <v>65154.953510652005</v>
      </c>
      <c r="K23" s="125">
        <v>65805.457692000011</v>
      </c>
      <c r="L23" s="125">
        <v>66897.965003999998</v>
      </c>
      <c r="M23" s="125">
        <v>68094.940716000012</v>
      </c>
      <c r="N23" s="125">
        <v>69269.861988000004</v>
      </c>
      <c r="O23" s="125">
        <v>70431.202368000013</v>
      </c>
      <c r="P23" s="125">
        <v>71581.631604000009</v>
      </c>
      <c r="Q23" s="125">
        <v>72719.872860000003</v>
      </c>
      <c r="R23" s="125">
        <v>73849.524492000011</v>
      </c>
      <c r="S23" s="125">
        <v>75012.025632000019</v>
      </c>
      <c r="T23" s="125">
        <v>81174.500472000014</v>
      </c>
      <c r="U23" s="122" t="s">
        <v>200</v>
      </c>
    </row>
    <row r="24" spans="1:36" s="122" customFormat="1" ht="24.95" customHeight="1">
      <c r="A24" s="120" t="s">
        <v>599</v>
      </c>
      <c r="B24" s="132" t="s">
        <v>201</v>
      </c>
      <c r="C24" s="120" t="s">
        <v>90</v>
      </c>
      <c r="D24" s="125">
        <v>2621</v>
      </c>
      <c r="E24" s="125">
        <v>5720</v>
      </c>
      <c r="F24" s="125">
        <v>9890</v>
      </c>
      <c r="G24" s="125">
        <v>13809</v>
      </c>
      <c r="H24" s="125">
        <v>21573</v>
      </c>
      <c r="I24" s="125">
        <v>15296</v>
      </c>
      <c r="J24" s="125">
        <v>15739</v>
      </c>
      <c r="K24" s="125">
        <v>16160</v>
      </c>
      <c r="L24" s="125">
        <v>16435</v>
      </c>
      <c r="M24" s="125">
        <v>16739</v>
      </c>
      <c r="N24" s="125">
        <v>16707</v>
      </c>
      <c r="O24" s="125">
        <v>16697</v>
      </c>
      <c r="P24" s="125">
        <v>16593</v>
      </c>
      <c r="Q24" s="125">
        <v>16291</v>
      </c>
      <c r="R24" s="125">
        <v>16042</v>
      </c>
      <c r="S24" s="125">
        <v>16146</v>
      </c>
      <c r="T24" s="125">
        <v>17932</v>
      </c>
    </row>
    <row r="25" spans="1:36" s="122" customFormat="1" ht="24.95" customHeight="1">
      <c r="A25" s="120" t="s">
        <v>599</v>
      </c>
      <c r="B25" s="132" t="s">
        <v>202</v>
      </c>
      <c r="C25" s="120" t="s">
        <v>90</v>
      </c>
      <c r="D25" s="125">
        <v>27295</v>
      </c>
      <c r="E25" s="125">
        <v>29985</v>
      </c>
      <c r="F25" s="125">
        <v>43226</v>
      </c>
      <c r="G25" s="125">
        <v>41780</v>
      </c>
      <c r="H25" s="125">
        <v>51875</v>
      </c>
      <c r="I25" s="125">
        <v>62386</v>
      </c>
      <c r="J25" s="125">
        <f t="shared" ref="J25:T25" si="0">J23*J18/100</f>
        <v>63200.30490533245</v>
      </c>
      <c r="K25" s="125">
        <f t="shared" si="0"/>
        <v>64160.321249700013</v>
      </c>
      <c r="L25" s="125">
        <f t="shared" si="0"/>
        <v>65426.209773911993</v>
      </c>
      <c r="M25" s="125">
        <f t="shared" si="0"/>
        <v>66733.041901680001</v>
      </c>
      <c r="N25" s="125">
        <f t="shared" si="0"/>
        <v>68230.814058180011</v>
      </c>
      <c r="O25" s="125">
        <f t="shared" si="0"/>
        <v>69586.027939584019</v>
      </c>
      <c r="P25" s="125">
        <f t="shared" si="0"/>
        <v>70865.815287960009</v>
      </c>
      <c r="Q25" s="125">
        <f t="shared" si="0"/>
        <v>72138.113877120006</v>
      </c>
      <c r="R25" s="125">
        <f t="shared" si="0"/>
        <v>73406.42734504801</v>
      </c>
      <c r="S25" s="125">
        <f t="shared" si="0"/>
        <v>74636.965503840023</v>
      </c>
      <c r="T25" s="125">
        <f t="shared" si="0"/>
        <v>80768.627969640016</v>
      </c>
    </row>
    <row r="26" spans="1:36" s="122" customFormat="1" ht="24.95" customHeight="1">
      <c r="A26" s="120" t="s">
        <v>599</v>
      </c>
      <c r="B26" s="132" t="s">
        <v>203</v>
      </c>
      <c r="C26" s="120" t="s">
        <v>90</v>
      </c>
      <c r="D26" s="125">
        <v>0</v>
      </c>
      <c r="E26" s="125">
        <v>148</v>
      </c>
      <c r="F26" s="125">
        <v>1522</v>
      </c>
      <c r="G26" s="125">
        <v>5543</v>
      </c>
      <c r="H26" s="125">
        <v>6761</v>
      </c>
      <c r="I26" s="125">
        <v>7148</v>
      </c>
      <c r="J26" s="125">
        <v>7213</v>
      </c>
      <c r="K26" s="125">
        <v>7342</v>
      </c>
      <c r="L26" s="125">
        <v>7413</v>
      </c>
      <c r="M26" s="125">
        <v>7548</v>
      </c>
      <c r="N26" s="125">
        <v>7613</v>
      </c>
      <c r="O26" s="125">
        <v>7666</v>
      </c>
      <c r="P26" s="125">
        <v>7689</v>
      </c>
      <c r="Q26" s="125">
        <v>7736</v>
      </c>
      <c r="R26" s="125">
        <v>7871</v>
      </c>
      <c r="S26" s="125">
        <v>8035</v>
      </c>
      <c r="T26" s="125">
        <v>8501</v>
      </c>
    </row>
    <row r="27" spans="1:36" s="122" customFormat="1" ht="24.95" customHeight="1">
      <c r="A27" s="120" t="s">
        <v>599</v>
      </c>
      <c r="B27" s="132" t="s">
        <v>204</v>
      </c>
      <c r="C27" s="120" t="s">
        <v>90</v>
      </c>
      <c r="D27" s="125">
        <v>3090</v>
      </c>
      <c r="E27" s="125">
        <v>3129</v>
      </c>
      <c r="F27" s="125">
        <v>3141</v>
      </c>
      <c r="G27" s="125">
        <v>3464</v>
      </c>
      <c r="H27" s="125">
        <v>3532</v>
      </c>
      <c r="I27" s="125">
        <v>3658</v>
      </c>
      <c r="J27" s="125">
        <v>3647</v>
      </c>
      <c r="K27" s="125">
        <v>3627</v>
      </c>
      <c r="L27" s="125">
        <v>3726</v>
      </c>
      <c r="M27" s="125">
        <v>3690</v>
      </c>
      <c r="N27" s="125">
        <v>3729</v>
      </c>
      <c r="O27" s="125">
        <v>3570</v>
      </c>
      <c r="P27" s="125">
        <v>3636</v>
      </c>
      <c r="Q27" s="125">
        <v>3517</v>
      </c>
      <c r="R27" s="125">
        <v>3597</v>
      </c>
      <c r="S27" s="125">
        <v>3608</v>
      </c>
      <c r="T27" s="125">
        <v>3827</v>
      </c>
    </row>
    <row r="28" spans="1:36" s="122" customFormat="1" ht="24.95" customHeight="1">
      <c r="A28" s="120" t="s">
        <v>599</v>
      </c>
      <c r="B28" s="132" t="s">
        <v>205</v>
      </c>
      <c r="C28" s="120" t="s">
        <v>90</v>
      </c>
      <c r="D28" s="125">
        <v>11212</v>
      </c>
      <c r="E28" s="125">
        <v>11593</v>
      </c>
      <c r="F28" s="125">
        <v>11876</v>
      </c>
      <c r="G28" s="125">
        <v>12050</v>
      </c>
      <c r="H28" s="125">
        <v>12433</v>
      </c>
      <c r="I28" s="125">
        <v>12661</v>
      </c>
      <c r="J28" s="125">
        <v>12893</v>
      </c>
      <c r="K28" s="125">
        <v>13113</v>
      </c>
      <c r="L28" s="125">
        <v>13344</v>
      </c>
      <c r="M28" s="125">
        <v>13582</v>
      </c>
      <c r="N28" s="125">
        <v>13831</v>
      </c>
      <c r="O28" s="125">
        <v>14062</v>
      </c>
      <c r="P28" s="125">
        <v>14292</v>
      </c>
      <c r="Q28" s="125">
        <v>14519</v>
      </c>
      <c r="R28" s="125">
        <v>14745</v>
      </c>
      <c r="S28" s="125">
        <v>14977</v>
      </c>
      <c r="T28" s="125">
        <v>16208</v>
      </c>
      <c r="U28" s="122" t="s">
        <v>206</v>
      </c>
    </row>
    <row r="29" spans="1:36" s="122" customFormat="1" ht="24.95" customHeight="1">
      <c r="A29" s="120" t="s">
        <v>599</v>
      </c>
      <c r="B29" s="132" t="s">
        <v>207</v>
      </c>
      <c r="C29" s="120" t="s">
        <v>90</v>
      </c>
      <c r="D29" s="125">
        <v>51745</v>
      </c>
      <c r="E29" s="125">
        <v>55423</v>
      </c>
      <c r="F29" s="125">
        <v>56360</v>
      </c>
      <c r="G29" s="125">
        <v>57914</v>
      </c>
      <c r="H29" s="125">
        <v>60742</v>
      </c>
      <c r="I29" s="125">
        <v>61839</v>
      </c>
      <c r="J29" s="125">
        <v>62989</v>
      </c>
      <c r="K29" s="125">
        <v>64128</v>
      </c>
      <c r="L29" s="125">
        <v>65192</v>
      </c>
      <c r="M29" s="125">
        <v>66425</v>
      </c>
      <c r="N29" s="125">
        <v>67572</v>
      </c>
      <c r="O29" s="125">
        <v>68704</v>
      </c>
      <c r="P29" s="125">
        <v>69897</v>
      </c>
      <c r="Q29" s="125">
        <v>71008</v>
      </c>
      <c r="R29" s="125">
        <v>72184</v>
      </c>
      <c r="S29" s="125">
        <v>73320</v>
      </c>
      <c r="T29" s="125">
        <v>79423</v>
      </c>
      <c r="U29" s="122" t="s">
        <v>208</v>
      </c>
    </row>
    <row r="30" spans="1:36" s="118" customFormat="1" ht="24.95" customHeight="1">
      <c r="A30" s="113">
        <v>5</v>
      </c>
      <c r="B30" s="115" t="s">
        <v>209</v>
      </c>
      <c r="C30" s="120" t="s">
        <v>105</v>
      </c>
      <c r="D30" s="125">
        <v>3368</v>
      </c>
      <c r="E30" s="125">
        <f t="shared" ref="E30:T30" si="1">E23/E31</f>
        <v>3378.0000000000005</v>
      </c>
      <c r="F30" s="125">
        <f t="shared" si="1"/>
        <v>3455.0000000000005</v>
      </c>
      <c r="G30" s="125">
        <f t="shared" si="1"/>
        <v>3217.0000000000005</v>
      </c>
      <c r="H30" s="125">
        <f t="shared" si="1"/>
        <v>3171</v>
      </c>
      <c r="I30" s="125">
        <f t="shared" si="1"/>
        <v>3151</v>
      </c>
      <c r="J30" s="125">
        <f t="shared" si="1"/>
        <v>3178.2904151537564</v>
      </c>
      <c r="K30" s="125">
        <f t="shared" si="1"/>
        <v>3194.439693786408</v>
      </c>
      <c r="L30" s="125">
        <f t="shared" si="1"/>
        <v>3231.7857489855073</v>
      </c>
      <c r="M30" s="125">
        <f t="shared" si="1"/>
        <v>3273.7952267307696</v>
      </c>
      <c r="N30" s="125">
        <f t="shared" si="1"/>
        <v>3298.5648565714287</v>
      </c>
      <c r="O30" s="125">
        <f t="shared" si="1"/>
        <v>3322.2265267924536</v>
      </c>
      <c r="P30" s="125">
        <f t="shared" si="1"/>
        <v>3344.936056261683</v>
      </c>
      <c r="Q30" s="125">
        <f t="shared" si="1"/>
        <v>3366.6607805555554</v>
      </c>
      <c r="R30" s="125">
        <f t="shared" si="1"/>
        <v>3387.5928666055052</v>
      </c>
      <c r="S30" s="125">
        <f t="shared" si="1"/>
        <v>3409.6375287272735</v>
      </c>
      <c r="T30" s="125">
        <f t="shared" si="1"/>
        <v>3529.3261074782613</v>
      </c>
      <c r="U30" s="122" t="s">
        <v>210</v>
      </c>
    </row>
    <row r="31" spans="1:36" s="122" customFormat="1" ht="24.95" customHeight="1">
      <c r="A31" s="120" t="s">
        <v>607</v>
      </c>
      <c r="B31" s="119" t="s">
        <v>29</v>
      </c>
      <c r="C31" s="120" t="s">
        <v>211</v>
      </c>
      <c r="D31" s="125">
        <v>17.145783847980997</v>
      </c>
      <c r="E31" s="130">
        <v>17.676731793960922</v>
      </c>
      <c r="F31" s="130">
        <v>17.848046309696091</v>
      </c>
      <c r="G31" s="130">
        <v>19.670811314889647</v>
      </c>
      <c r="H31" s="130">
        <v>20.10091453800063</v>
      </c>
      <c r="I31" s="130">
        <v>20.499841320215804</v>
      </c>
      <c r="J31" s="130">
        <v>20.5</v>
      </c>
      <c r="K31" s="130">
        <v>20.6</v>
      </c>
      <c r="L31" s="130">
        <v>20.7</v>
      </c>
      <c r="M31" s="130">
        <v>20.8</v>
      </c>
      <c r="N31" s="130">
        <v>21</v>
      </c>
      <c r="O31" s="130">
        <v>21.2</v>
      </c>
      <c r="P31" s="130">
        <v>21.4</v>
      </c>
      <c r="Q31" s="130">
        <v>21.6</v>
      </c>
      <c r="R31" s="130">
        <v>21.8</v>
      </c>
      <c r="S31" s="130">
        <v>22</v>
      </c>
      <c r="T31" s="125">
        <v>23</v>
      </c>
    </row>
    <row r="32" spans="1:36" s="118" customFormat="1" ht="24.95" customHeight="1">
      <c r="A32" s="120" t="s">
        <v>609</v>
      </c>
      <c r="B32" s="132" t="s">
        <v>634</v>
      </c>
      <c r="C32" s="120" t="s">
        <v>90</v>
      </c>
      <c r="D32" s="125">
        <v>0</v>
      </c>
      <c r="E32" s="125">
        <v>0</v>
      </c>
      <c r="F32" s="125">
        <v>0</v>
      </c>
      <c r="G32" s="125">
        <v>445</v>
      </c>
      <c r="H32" s="125">
        <v>879</v>
      </c>
      <c r="I32" s="125">
        <v>1355</v>
      </c>
      <c r="J32" s="125">
        <f t="shared" ref="J32:T32" si="2">J6*20</f>
        <v>1300</v>
      </c>
      <c r="K32" s="125">
        <f t="shared" si="2"/>
        <v>1320</v>
      </c>
      <c r="L32" s="125">
        <f t="shared" si="2"/>
        <v>1360</v>
      </c>
      <c r="M32" s="125">
        <f t="shared" si="2"/>
        <v>1400</v>
      </c>
      <c r="N32" s="125">
        <f t="shared" si="2"/>
        <v>1420</v>
      </c>
      <c r="O32" s="125">
        <f t="shared" si="2"/>
        <v>1440</v>
      </c>
      <c r="P32" s="125">
        <f t="shared" si="2"/>
        <v>1460</v>
      </c>
      <c r="Q32" s="125">
        <f t="shared" si="2"/>
        <v>1480</v>
      </c>
      <c r="R32" s="125">
        <f t="shared" si="2"/>
        <v>1500</v>
      </c>
      <c r="S32" s="125">
        <f t="shared" si="2"/>
        <v>1520</v>
      </c>
      <c r="T32" s="125">
        <f t="shared" si="2"/>
        <v>1600</v>
      </c>
      <c r="U32" s="122" t="s">
        <v>212</v>
      </c>
    </row>
    <row r="33" spans="1:34" s="118" customFormat="1" ht="24.95" customHeight="1">
      <c r="A33" s="120" t="s">
        <v>610</v>
      </c>
      <c r="B33" s="132" t="s">
        <v>213</v>
      </c>
      <c r="C33" s="120" t="s">
        <v>90</v>
      </c>
      <c r="D33" s="125">
        <f t="shared" ref="D33:S33" si="3">D25/D31</f>
        <v>1591.9365508164926</v>
      </c>
      <c r="E33" s="125">
        <f t="shared" si="3"/>
        <v>1696.2977290996787</v>
      </c>
      <c r="F33" s="125">
        <f t="shared" si="3"/>
        <v>2421.8897267493717</v>
      </c>
      <c r="G33" s="125">
        <f t="shared" si="3"/>
        <v>2123.9591662584348</v>
      </c>
      <c r="H33" s="125">
        <f t="shared" si="3"/>
        <v>2580.728349545027</v>
      </c>
      <c r="I33" s="125">
        <f t="shared" si="3"/>
        <v>3043.2430683489433</v>
      </c>
      <c r="J33" s="125">
        <f t="shared" si="3"/>
        <v>3082.9417026991441</v>
      </c>
      <c r="K33" s="125">
        <f t="shared" si="3"/>
        <v>3114.5787014417479</v>
      </c>
      <c r="L33" s="125">
        <f t="shared" si="3"/>
        <v>3160.686462507826</v>
      </c>
      <c r="M33" s="125">
        <f t="shared" si="3"/>
        <v>3208.3193221961537</v>
      </c>
      <c r="N33" s="125">
        <f t="shared" si="3"/>
        <v>3249.0863837228576</v>
      </c>
      <c r="O33" s="125">
        <f t="shared" si="3"/>
        <v>3282.3598084709442</v>
      </c>
      <c r="P33" s="125">
        <f t="shared" si="3"/>
        <v>3311.4866956990659</v>
      </c>
      <c r="Q33" s="125">
        <f t="shared" si="3"/>
        <v>3339.7274943111111</v>
      </c>
      <c r="R33" s="125">
        <f t="shared" si="3"/>
        <v>3367.2673094058719</v>
      </c>
      <c r="S33" s="125">
        <f t="shared" si="3"/>
        <v>3392.5893410836375</v>
      </c>
      <c r="T33" s="125">
        <f>T25/22</f>
        <v>3671.3012713472735</v>
      </c>
      <c r="U33" s="122" t="s">
        <v>214</v>
      </c>
    </row>
    <row r="34" spans="1:34" s="122" customFormat="1" ht="24.95" customHeight="1">
      <c r="A34" s="113">
        <v>6</v>
      </c>
      <c r="B34" s="115" t="s">
        <v>215</v>
      </c>
      <c r="C34" s="113"/>
      <c r="D34" s="125">
        <f t="shared" ref="D34:T34" si="4">D35+D38+D52</f>
        <v>5315</v>
      </c>
      <c r="E34" s="125">
        <f t="shared" si="4"/>
        <v>5527</v>
      </c>
      <c r="F34" s="125">
        <f t="shared" si="4"/>
        <v>5808</v>
      </c>
      <c r="G34" s="125">
        <f t="shared" si="4"/>
        <v>6242</v>
      </c>
      <c r="H34" s="125">
        <f t="shared" si="4"/>
        <v>6242</v>
      </c>
      <c r="I34" s="125">
        <f t="shared" si="4"/>
        <v>6209</v>
      </c>
      <c r="J34" s="133">
        <f t="shared" si="4"/>
        <v>6347.4756227306343</v>
      </c>
      <c r="K34" s="133">
        <f t="shared" si="4"/>
        <v>6398.033540679613</v>
      </c>
      <c r="L34" s="133">
        <f t="shared" si="4"/>
        <v>6462.8306234782613</v>
      </c>
      <c r="M34" s="133">
        <f t="shared" si="4"/>
        <v>6562.0008400961542</v>
      </c>
      <c r="N34" s="133">
        <f t="shared" si="4"/>
        <v>6616.9112848571422</v>
      </c>
      <c r="O34" s="133">
        <f t="shared" si="4"/>
        <v>6993.5044428679257</v>
      </c>
      <c r="P34" s="133">
        <f t="shared" si="4"/>
        <v>7029.8396900186935</v>
      </c>
      <c r="Q34" s="133">
        <f t="shared" si="4"/>
        <v>7073.4772488888884</v>
      </c>
      <c r="R34" s="133">
        <f t="shared" si="4"/>
        <v>7106.968586568808</v>
      </c>
      <c r="S34" s="133">
        <f t="shared" si="4"/>
        <v>7142.2400459636374</v>
      </c>
      <c r="T34" s="133">
        <f t="shared" si="4"/>
        <v>7813.4103827130448</v>
      </c>
    </row>
    <row r="35" spans="1:34" s="134" customFormat="1" ht="24.95" customHeight="1">
      <c r="A35" s="120" t="s">
        <v>612</v>
      </c>
      <c r="B35" s="119" t="s">
        <v>614</v>
      </c>
      <c r="C35" s="120" t="s">
        <v>90</v>
      </c>
      <c r="D35" s="125">
        <v>441</v>
      </c>
      <c r="E35" s="125">
        <v>438</v>
      </c>
      <c r="F35" s="125">
        <v>456</v>
      </c>
      <c r="G35" s="125">
        <v>466</v>
      </c>
      <c r="H35" s="125">
        <v>475</v>
      </c>
      <c r="I35" s="125">
        <v>481</v>
      </c>
      <c r="J35" s="125">
        <f>J4*2.7</f>
        <v>486.00000000000006</v>
      </c>
      <c r="K35" s="125">
        <f>K4*2.7</f>
        <v>494.1</v>
      </c>
      <c r="L35" s="125">
        <f>L4*2.7</f>
        <v>496.8</v>
      </c>
      <c r="M35" s="125">
        <f t="shared" ref="M35:S35" si="5">M4*2.8</f>
        <v>520.79999999999995</v>
      </c>
      <c r="N35" s="125">
        <f t="shared" si="5"/>
        <v>526.4</v>
      </c>
      <c r="O35" s="125">
        <f t="shared" si="5"/>
        <v>529.19999999999993</v>
      </c>
      <c r="P35" s="125">
        <f t="shared" si="5"/>
        <v>529.19999999999993</v>
      </c>
      <c r="Q35" s="125">
        <f t="shared" si="5"/>
        <v>532</v>
      </c>
      <c r="R35" s="125">
        <f t="shared" si="5"/>
        <v>532</v>
      </c>
      <c r="S35" s="125">
        <f t="shared" si="5"/>
        <v>532</v>
      </c>
      <c r="T35" s="125">
        <f>T4*2.9</f>
        <v>585.79999999999995</v>
      </c>
    </row>
    <row r="36" spans="1:34" s="134" customFormat="1" ht="24.95" customHeight="1">
      <c r="A36" s="113"/>
      <c r="B36" s="119" t="s">
        <v>635</v>
      </c>
      <c r="C36" s="120" t="s">
        <v>90</v>
      </c>
      <c r="D36" s="125">
        <v>301</v>
      </c>
      <c r="E36" s="125">
        <v>332</v>
      </c>
      <c r="F36" s="125">
        <v>348</v>
      </c>
      <c r="G36" s="125">
        <v>354</v>
      </c>
      <c r="H36" s="125">
        <v>366</v>
      </c>
      <c r="I36" s="125">
        <v>390</v>
      </c>
      <c r="J36" s="125">
        <f>J35*0.85</f>
        <v>413.1</v>
      </c>
      <c r="K36" s="125">
        <f>K35*0.9</f>
        <v>444.69000000000005</v>
      </c>
      <c r="L36" s="125">
        <f>L35*0.93</f>
        <v>462.02400000000006</v>
      </c>
      <c r="M36" s="125">
        <f>M35*0.97</f>
        <v>505.17599999999993</v>
      </c>
      <c r="N36" s="125">
        <f t="shared" ref="N36:T36" si="6">N35*1</f>
        <v>526.4</v>
      </c>
      <c r="O36" s="125">
        <f t="shared" si="6"/>
        <v>529.19999999999993</v>
      </c>
      <c r="P36" s="125">
        <f t="shared" si="6"/>
        <v>529.19999999999993</v>
      </c>
      <c r="Q36" s="125">
        <f t="shared" si="6"/>
        <v>532</v>
      </c>
      <c r="R36" s="125">
        <f t="shared" si="6"/>
        <v>532</v>
      </c>
      <c r="S36" s="125">
        <f t="shared" si="6"/>
        <v>532</v>
      </c>
      <c r="T36" s="125">
        <f t="shared" si="6"/>
        <v>585.79999999999995</v>
      </c>
      <c r="U36" s="134" t="s">
        <v>216</v>
      </c>
    </row>
    <row r="37" spans="1:34" s="134" customFormat="1" ht="24.95" customHeight="1">
      <c r="A37" s="120" t="s">
        <v>613</v>
      </c>
      <c r="B37" s="132" t="s">
        <v>636</v>
      </c>
      <c r="C37" s="120"/>
      <c r="D37" s="125">
        <v>54</v>
      </c>
      <c r="E37" s="125">
        <v>67</v>
      </c>
      <c r="F37" s="125">
        <v>101</v>
      </c>
      <c r="G37" s="125">
        <v>144</v>
      </c>
      <c r="H37" s="125">
        <v>142</v>
      </c>
      <c r="I37" s="125">
        <v>147</v>
      </c>
      <c r="J37" s="125">
        <f t="shared" ref="J37:T37" si="7">J4</f>
        <v>180</v>
      </c>
      <c r="K37" s="125">
        <f t="shared" si="7"/>
        <v>183</v>
      </c>
      <c r="L37" s="125">
        <f t="shared" si="7"/>
        <v>184</v>
      </c>
      <c r="M37" s="125">
        <f t="shared" si="7"/>
        <v>186</v>
      </c>
      <c r="N37" s="125">
        <f t="shared" si="7"/>
        <v>188</v>
      </c>
      <c r="O37" s="125">
        <f t="shared" si="7"/>
        <v>189</v>
      </c>
      <c r="P37" s="125">
        <f t="shared" si="7"/>
        <v>189</v>
      </c>
      <c r="Q37" s="125">
        <f t="shared" si="7"/>
        <v>190</v>
      </c>
      <c r="R37" s="125">
        <f t="shared" si="7"/>
        <v>190</v>
      </c>
      <c r="S37" s="125">
        <f t="shared" si="7"/>
        <v>190</v>
      </c>
      <c r="T37" s="125">
        <f t="shared" si="7"/>
        <v>202</v>
      </c>
    </row>
    <row r="38" spans="1:34" s="134" customFormat="1" ht="24.95" customHeight="1">
      <c r="A38" s="120" t="s">
        <v>620</v>
      </c>
      <c r="B38" s="132" t="s">
        <v>645</v>
      </c>
      <c r="C38" s="120" t="s">
        <v>90</v>
      </c>
      <c r="D38" s="125">
        <f t="shared" ref="D38:I38" si="8">SUM(D41:D44)</f>
        <v>4325</v>
      </c>
      <c r="E38" s="125">
        <f t="shared" si="8"/>
        <v>4477</v>
      </c>
      <c r="F38" s="125">
        <f t="shared" si="8"/>
        <v>4656</v>
      </c>
      <c r="G38" s="125">
        <f t="shared" si="8"/>
        <v>4800</v>
      </c>
      <c r="H38" s="125">
        <f t="shared" si="8"/>
        <v>4731</v>
      </c>
      <c r="I38" s="125">
        <f t="shared" si="8"/>
        <v>4665</v>
      </c>
      <c r="J38" s="125">
        <f>J30*1.5</f>
        <v>4767.4356227306343</v>
      </c>
      <c r="K38" s="125">
        <f>K30*1.5</f>
        <v>4791.6595406796123</v>
      </c>
      <c r="L38" s="125">
        <f>L30*1.5</f>
        <v>4847.6786234782612</v>
      </c>
      <c r="M38" s="125">
        <f>M30*1.5</f>
        <v>4910.6928400961542</v>
      </c>
      <c r="N38" s="125">
        <f>N30*1.5</f>
        <v>4947.8472848571428</v>
      </c>
      <c r="O38" s="125">
        <f>O30*1.6</f>
        <v>5315.5624428679257</v>
      </c>
      <c r="P38" s="125">
        <f>P30*1.6</f>
        <v>5351.8976900186935</v>
      </c>
      <c r="Q38" s="125">
        <f>Q30*1.6</f>
        <v>5386.6572488888887</v>
      </c>
      <c r="R38" s="125">
        <f>R30*1.6</f>
        <v>5420.1485865688082</v>
      </c>
      <c r="S38" s="125">
        <f>S30*1.6</f>
        <v>5455.4200459636377</v>
      </c>
      <c r="T38" s="125">
        <f>T30*1.7</f>
        <v>5999.8543827130443</v>
      </c>
    </row>
    <row r="39" spans="1:34" s="134" customFormat="1" ht="24.95" customHeight="1">
      <c r="A39" s="120"/>
      <c r="B39" s="132" t="s">
        <v>30</v>
      </c>
      <c r="C39" s="120" t="s">
        <v>94</v>
      </c>
      <c r="D39" s="135">
        <f t="shared" ref="D39:T39" si="9">D38/D30</f>
        <v>1.284144893111639</v>
      </c>
      <c r="E39" s="135">
        <f t="shared" si="9"/>
        <v>1.3253404381290703</v>
      </c>
      <c r="F39" s="135">
        <f t="shared" si="9"/>
        <v>1.3476121562952241</v>
      </c>
      <c r="G39" s="135">
        <f t="shared" si="9"/>
        <v>1.4920733602735465</v>
      </c>
      <c r="H39" s="135">
        <f t="shared" si="9"/>
        <v>1.4919583727530747</v>
      </c>
      <c r="I39" s="135">
        <f t="shared" si="9"/>
        <v>1.4804823865439543</v>
      </c>
      <c r="J39" s="135">
        <f t="shared" si="9"/>
        <v>1.5</v>
      </c>
      <c r="K39" s="135">
        <f t="shared" si="9"/>
        <v>1.5</v>
      </c>
      <c r="L39" s="135">
        <f t="shared" si="9"/>
        <v>1.5</v>
      </c>
      <c r="M39" s="135">
        <f t="shared" si="9"/>
        <v>1.5</v>
      </c>
      <c r="N39" s="135">
        <f t="shared" si="9"/>
        <v>1.5</v>
      </c>
      <c r="O39" s="135">
        <f t="shared" si="9"/>
        <v>1.6</v>
      </c>
      <c r="P39" s="135">
        <f t="shared" si="9"/>
        <v>1.6000000000000003</v>
      </c>
      <c r="Q39" s="135">
        <f t="shared" si="9"/>
        <v>1.6</v>
      </c>
      <c r="R39" s="135">
        <f t="shared" si="9"/>
        <v>1.6</v>
      </c>
      <c r="S39" s="135">
        <f t="shared" si="9"/>
        <v>1.6</v>
      </c>
      <c r="T39" s="135">
        <f t="shared" si="9"/>
        <v>1.7</v>
      </c>
    </row>
    <row r="40" spans="1:34" s="134" customFormat="1" ht="24.95" customHeight="1">
      <c r="A40" s="120"/>
      <c r="B40" s="132" t="s">
        <v>217</v>
      </c>
      <c r="C40" s="120" t="s">
        <v>90</v>
      </c>
      <c r="D40" s="127">
        <f t="shared" ref="D40:T40" si="10">SUM(D41:D44)</f>
        <v>4325</v>
      </c>
      <c r="E40" s="127">
        <f t="shared" si="10"/>
        <v>4477</v>
      </c>
      <c r="F40" s="127">
        <f t="shared" si="10"/>
        <v>4656</v>
      </c>
      <c r="G40" s="127">
        <f t="shared" si="10"/>
        <v>4800</v>
      </c>
      <c r="H40" s="127">
        <f t="shared" si="10"/>
        <v>4731</v>
      </c>
      <c r="I40" s="127">
        <f t="shared" si="10"/>
        <v>4665</v>
      </c>
      <c r="J40" s="127">
        <f t="shared" si="10"/>
        <v>4767.4356227306343</v>
      </c>
      <c r="K40" s="127">
        <f t="shared" si="10"/>
        <v>4791.6595406796123</v>
      </c>
      <c r="L40" s="127">
        <f t="shared" si="10"/>
        <v>4847.6786234782612</v>
      </c>
      <c r="M40" s="127">
        <f t="shared" si="10"/>
        <v>4910.6928400961542</v>
      </c>
      <c r="N40" s="127">
        <f t="shared" si="10"/>
        <v>4947.8472848571428</v>
      </c>
      <c r="O40" s="127">
        <f t="shared" si="10"/>
        <v>5315.5624428679248</v>
      </c>
      <c r="P40" s="127">
        <f t="shared" si="10"/>
        <v>5351.8976900186935</v>
      </c>
      <c r="Q40" s="127">
        <f t="shared" si="10"/>
        <v>5386.6572488888887</v>
      </c>
      <c r="R40" s="127">
        <f t="shared" si="10"/>
        <v>5420.1485865688082</v>
      </c>
      <c r="S40" s="127">
        <f t="shared" si="10"/>
        <v>5455.4200459636377</v>
      </c>
      <c r="T40" s="127">
        <f t="shared" si="10"/>
        <v>5999.8543827130452</v>
      </c>
    </row>
    <row r="41" spans="1:34" s="134" customFormat="1" ht="24.95" customHeight="1">
      <c r="A41" s="113"/>
      <c r="B41" s="271" t="s">
        <v>619</v>
      </c>
      <c r="C41" s="120" t="s">
        <v>90</v>
      </c>
      <c r="D41" s="125"/>
      <c r="E41" s="125"/>
      <c r="F41" s="125"/>
      <c r="G41" s="125"/>
      <c r="H41" s="125"/>
      <c r="I41" s="125"/>
      <c r="J41" s="125">
        <f t="shared" ref="J41:T44" si="11">J$38*X41/100</f>
        <v>0.95348712454612694</v>
      </c>
      <c r="K41" s="125">
        <f t="shared" si="11"/>
        <v>0.95833190813592251</v>
      </c>
      <c r="L41" s="125">
        <f t="shared" si="11"/>
        <v>1.4543035870434784</v>
      </c>
      <c r="M41" s="125">
        <f t="shared" si="11"/>
        <v>1.4732078520288463</v>
      </c>
      <c r="N41" s="125">
        <f t="shared" si="11"/>
        <v>1.9791389139428572</v>
      </c>
      <c r="O41" s="125">
        <f t="shared" si="11"/>
        <v>2.1262249771471704</v>
      </c>
      <c r="P41" s="125">
        <f t="shared" si="11"/>
        <v>2.6759488450093469</v>
      </c>
      <c r="Q41" s="125">
        <f t="shared" si="11"/>
        <v>2.6933286244444448</v>
      </c>
      <c r="R41" s="125">
        <f t="shared" si="11"/>
        <v>3.2520891519412851</v>
      </c>
      <c r="S41" s="125">
        <f t="shared" si="11"/>
        <v>3.2732520275781827</v>
      </c>
      <c r="T41" s="125">
        <f t="shared" si="11"/>
        <v>4.7998835061704357</v>
      </c>
      <c r="X41" s="134">
        <v>0.02</v>
      </c>
      <c r="Y41" s="134">
        <v>0.02</v>
      </c>
      <c r="Z41" s="134">
        <v>0.03</v>
      </c>
      <c r="AA41" s="134">
        <v>0.03</v>
      </c>
      <c r="AB41" s="134">
        <v>0.04</v>
      </c>
      <c r="AC41" s="134">
        <v>0.04</v>
      </c>
      <c r="AD41" s="134">
        <v>0.05</v>
      </c>
      <c r="AE41" s="134">
        <v>0.05</v>
      </c>
      <c r="AF41" s="134">
        <v>0.06</v>
      </c>
      <c r="AG41" s="134">
        <v>0.06</v>
      </c>
      <c r="AH41" s="134">
        <v>0.08</v>
      </c>
    </row>
    <row r="42" spans="1:34" s="134" customFormat="1" ht="24.95" customHeight="1">
      <c r="A42" s="113"/>
      <c r="B42" s="271" t="s">
        <v>616</v>
      </c>
      <c r="C42" s="120" t="s">
        <v>90</v>
      </c>
      <c r="D42" s="125">
        <v>849</v>
      </c>
      <c r="E42" s="125">
        <v>917</v>
      </c>
      <c r="F42" s="125">
        <v>998</v>
      </c>
      <c r="G42" s="125">
        <v>1392</v>
      </c>
      <c r="H42" s="125">
        <v>1447</v>
      </c>
      <c r="I42" s="125">
        <v>1637</v>
      </c>
      <c r="J42" s="125">
        <f t="shared" si="11"/>
        <v>1811.6255366376408</v>
      </c>
      <c r="K42" s="125">
        <f t="shared" si="11"/>
        <v>1964.5804116786412</v>
      </c>
      <c r="L42" s="125">
        <f t="shared" si="11"/>
        <v>2132.978594330435</v>
      </c>
      <c r="M42" s="125">
        <f t="shared" si="11"/>
        <v>2357.1325632461539</v>
      </c>
      <c r="N42" s="125">
        <f t="shared" si="11"/>
        <v>2572.8805881257144</v>
      </c>
      <c r="O42" s="125">
        <f t="shared" si="11"/>
        <v>2976.7149680060379</v>
      </c>
      <c r="P42" s="125">
        <f t="shared" si="11"/>
        <v>3264.6575909114031</v>
      </c>
      <c r="Q42" s="125">
        <f t="shared" si="11"/>
        <v>3555.1937842666666</v>
      </c>
      <c r="R42" s="125">
        <f t="shared" si="11"/>
        <v>3848.3054964638536</v>
      </c>
      <c r="S42" s="125">
        <f t="shared" si="11"/>
        <v>4091.5650344727283</v>
      </c>
      <c r="T42" s="125">
        <f t="shared" si="11"/>
        <v>4859.8820499975664</v>
      </c>
      <c r="X42" s="134">
        <v>38</v>
      </c>
      <c r="Y42" s="134">
        <v>41</v>
      </c>
      <c r="Z42" s="134">
        <v>44</v>
      </c>
      <c r="AA42" s="134">
        <v>48</v>
      </c>
      <c r="AB42" s="134">
        <v>52</v>
      </c>
      <c r="AC42" s="134">
        <v>56</v>
      </c>
      <c r="AD42" s="134">
        <v>61</v>
      </c>
      <c r="AE42" s="134">
        <v>66</v>
      </c>
      <c r="AF42" s="134">
        <v>71</v>
      </c>
      <c r="AG42" s="134">
        <v>75</v>
      </c>
      <c r="AH42" s="134">
        <v>81</v>
      </c>
    </row>
    <row r="43" spans="1:34" s="134" customFormat="1" ht="24.95" customHeight="1">
      <c r="A43" s="113"/>
      <c r="B43" s="271" t="s">
        <v>617</v>
      </c>
      <c r="C43" s="120" t="s">
        <v>90</v>
      </c>
      <c r="D43" s="125">
        <v>1820</v>
      </c>
      <c r="E43" s="125">
        <v>2074</v>
      </c>
      <c r="F43" s="125">
        <v>2085</v>
      </c>
      <c r="G43" s="125">
        <v>1924</v>
      </c>
      <c r="H43" s="125">
        <v>1924</v>
      </c>
      <c r="I43" s="125">
        <v>1856</v>
      </c>
      <c r="J43" s="125">
        <f t="shared" si="11"/>
        <v>1811.6255366376408</v>
      </c>
      <c r="K43" s="125">
        <f t="shared" si="11"/>
        <v>1724.9974346446604</v>
      </c>
      <c r="L43" s="125">
        <f t="shared" si="11"/>
        <v>1648.2107319826089</v>
      </c>
      <c r="M43" s="125">
        <f t="shared" si="11"/>
        <v>1522.3147804298078</v>
      </c>
      <c r="N43" s="125">
        <f t="shared" si="11"/>
        <v>1385.39723976</v>
      </c>
      <c r="O43" s="125">
        <f t="shared" si="11"/>
        <v>1328.8906107169814</v>
      </c>
      <c r="P43" s="125">
        <f t="shared" si="11"/>
        <v>1177.4174918041126</v>
      </c>
      <c r="Q43" s="125">
        <f t="shared" si="11"/>
        <v>1023.4648772888888</v>
      </c>
      <c r="R43" s="125">
        <f t="shared" si="11"/>
        <v>867.22377385100935</v>
      </c>
      <c r="S43" s="125">
        <f t="shared" si="11"/>
        <v>709.2046059752729</v>
      </c>
      <c r="T43" s="125">
        <f t="shared" si="11"/>
        <v>659.98398209843492</v>
      </c>
      <c r="X43" s="134">
        <v>38</v>
      </c>
      <c r="Y43" s="134">
        <v>36</v>
      </c>
      <c r="Z43" s="134">
        <v>34</v>
      </c>
      <c r="AA43" s="134">
        <v>31</v>
      </c>
      <c r="AB43" s="134">
        <v>28</v>
      </c>
      <c r="AC43" s="134">
        <v>25</v>
      </c>
      <c r="AD43" s="134">
        <v>22</v>
      </c>
      <c r="AE43" s="134">
        <v>19</v>
      </c>
      <c r="AF43" s="134">
        <v>16</v>
      </c>
      <c r="AG43" s="134">
        <v>13</v>
      </c>
      <c r="AH43" s="134">
        <v>11</v>
      </c>
    </row>
    <row r="44" spans="1:34" s="134" customFormat="1" ht="24.95" customHeight="1">
      <c r="A44" s="113"/>
      <c r="B44" s="271" t="s">
        <v>618</v>
      </c>
      <c r="C44" s="120" t="s">
        <v>90</v>
      </c>
      <c r="D44" s="125">
        <v>1656</v>
      </c>
      <c r="E44" s="125">
        <v>1486</v>
      </c>
      <c r="F44" s="125">
        <v>1573</v>
      </c>
      <c r="G44" s="125">
        <v>1484</v>
      </c>
      <c r="H44" s="125">
        <v>1360</v>
      </c>
      <c r="I44" s="125">
        <v>1172</v>
      </c>
      <c r="J44" s="125">
        <f t="shared" si="11"/>
        <v>1143.2310623308063</v>
      </c>
      <c r="K44" s="125">
        <f t="shared" si="11"/>
        <v>1101.1233624481749</v>
      </c>
      <c r="L44" s="125">
        <f t="shared" si="11"/>
        <v>1065.034993578174</v>
      </c>
      <c r="M44" s="125">
        <f t="shared" si="11"/>
        <v>1029.7722885681635</v>
      </c>
      <c r="N44" s="125">
        <f t="shared" si="11"/>
        <v>987.59031805748566</v>
      </c>
      <c r="O44" s="125">
        <f t="shared" si="11"/>
        <v>1007.8306391677588</v>
      </c>
      <c r="P44" s="125">
        <f t="shared" si="11"/>
        <v>907.14665845816853</v>
      </c>
      <c r="Q44" s="125">
        <f t="shared" si="11"/>
        <v>805.30525870888891</v>
      </c>
      <c r="R44" s="125">
        <f t="shared" si="11"/>
        <v>701.36722710200377</v>
      </c>
      <c r="S44" s="125">
        <f t="shared" si="11"/>
        <v>651.3771534880583</v>
      </c>
      <c r="T44" s="125">
        <f t="shared" si="11"/>
        <v>475.18846711087309</v>
      </c>
      <c r="X44" s="134">
        <v>23.98</v>
      </c>
      <c r="Y44" s="134">
        <v>22.98</v>
      </c>
      <c r="Z44" s="134">
        <v>21.97</v>
      </c>
      <c r="AA44" s="134">
        <v>20.97</v>
      </c>
      <c r="AB44" s="134">
        <v>19.96</v>
      </c>
      <c r="AC44" s="134">
        <v>18.96</v>
      </c>
      <c r="AD44" s="134">
        <v>16.95</v>
      </c>
      <c r="AE44" s="134">
        <v>14.95</v>
      </c>
      <c r="AF44" s="134">
        <v>12.94</v>
      </c>
      <c r="AG44" s="134">
        <v>11.94</v>
      </c>
      <c r="AH44" s="134">
        <v>7.92</v>
      </c>
    </row>
    <row r="45" spans="1:34" s="134" customFormat="1" ht="24.95" customHeight="1">
      <c r="A45" s="113"/>
      <c r="B45" s="132" t="s">
        <v>218</v>
      </c>
      <c r="C45" s="120" t="s">
        <v>90</v>
      </c>
      <c r="D45" s="127">
        <f t="shared" ref="D45:I45" si="12">SUM(D46:D51)</f>
        <v>444</v>
      </c>
      <c r="E45" s="127">
        <f t="shared" si="12"/>
        <v>559</v>
      </c>
      <c r="F45" s="127">
        <f t="shared" si="12"/>
        <v>643</v>
      </c>
      <c r="G45" s="127">
        <f t="shared" si="12"/>
        <v>671</v>
      </c>
      <c r="H45" s="127">
        <f t="shared" si="12"/>
        <v>710</v>
      </c>
      <c r="I45" s="127">
        <f t="shared" si="12"/>
        <v>771</v>
      </c>
      <c r="J45" s="127">
        <f>J38*17/100</f>
        <v>810.46405586420792</v>
      </c>
      <c r="K45" s="127">
        <f>K38*17/100</f>
        <v>814.58212191553412</v>
      </c>
      <c r="L45" s="127">
        <f>L38*17/100</f>
        <v>824.10536599130444</v>
      </c>
      <c r="M45" s="127">
        <f>M38*18/100</f>
        <v>883.92471121730773</v>
      </c>
      <c r="N45" s="127">
        <f>N38*18/100</f>
        <v>890.61251127428568</v>
      </c>
      <c r="O45" s="127">
        <f>O38*18/100</f>
        <v>956.80123971622675</v>
      </c>
      <c r="P45" s="127">
        <f>P38*19/100</f>
        <v>1016.8605611035517</v>
      </c>
      <c r="Q45" s="127">
        <f>Q38*19/100</f>
        <v>1023.4648772888888</v>
      </c>
      <c r="R45" s="127">
        <f>R38*19/100</f>
        <v>1029.8282314480737</v>
      </c>
      <c r="S45" s="127">
        <f>S38*19/100</f>
        <v>1036.5298087330912</v>
      </c>
      <c r="T45" s="127">
        <f>T38*20/100</f>
        <v>1199.9708765426089</v>
      </c>
    </row>
    <row r="46" spans="1:34" s="134" customFormat="1" ht="24.95" customHeight="1">
      <c r="A46" s="113"/>
      <c r="B46" s="271" t="s">
        <v>259</v>
      </c>
      <c r="C46" s="120" t="s">
        <v>90</v>
      </c>
      <c r="D46" s="125">
        <v>113</v>
      </c>
      <c r="E46" s="125">
        <v>168</v>
      </c>
      <c r="F46" s="125">
        <v>179</v>
      </c>
      <c r="G46" s="125">
        <v>194</v>
      </c>
      <c r="H46" s="125">
        <v>199</v>
      </c>
      <c r="I46" s="125">
        <v>207</v>
      </c>
      <c r="J46" s="125">
        <f t="shared" ref="J46:T51" si="13">J$45*X46/100</f>
        <v>217.20436697160775</v>
      </c>
      <c r="K46" s="125">
        <f t="shared" si="13"/>
        <v>218.30800867336313</v>
      </c>
      <c r="L46" s="125">
        <f t="shared" si="13"/>
        <v>220.86023808566958</v>
      </c>
      <c r="M46" s="125">
        <f t="shared" si="13"/>
        <v>236.89182260623849</v>
      </c>
      <c r="N46" s="125">
        <f t="shared" si="13"/>
        <v>238.68415302150856</v>
      </c>
      <c r="O46" s="125">
        <f t="shared" si="13"/>
        <v>256.42273224394876</v>
      </c>
      <c r="P46" s="125">
        <f t="shared" si="13"/>
        <v>272.51863037575185</v>
      </c>
      <c r="Q46" s="125">
        <f t="shared" si="13"/>
        <v>274.28858711342224</v>
      </c>
      <c r="R46" s="125">
        <f t="shared" si="13"/>
        <v>275.99396602808372</v>
      </c>
      <c r="S46" s="125">
        <f t="shared" si="13"/>
        <v>277.78998874046846</v>
      </c>
      <c r="T46" s="125">
        <f t="shared" si="13"/>
        <v>321.59219491341918</v>
      </c>
      <c r="X46" s="134">
        <v>26.8</v>
      </c>
      <c r="Y46" s="134">
        <v>26.8</v>
      </c>
      <c r="Z46" s="134">
        <v>26.8</v>
      </c>
      <c r="AA46" s="134">
        <v>26.8</v>
      </c>
      <c r="AB46" s="134">
        <v>26.8</v>
      </c>
      <c r="AC46" s="134">
        <v>26.8</v>
      </c>
      <c r="AD46" s="134">
        <v>26.8</v>
      </c>
      <c r="AE46" s="134">
        <v>26.8</v>
      </c>
      <c r="AF46" s="134">
        <v>26.8</v>
      </c>
      <c r="AG46" s="134">
        <v>26.8</v>
      </c>
      <c r="AH46" s="134">
        <v>26.8</v>
      </c>
    </row>
    <row r="47" spans="1:34" s="134" customFormat="1" ht="24.95" customHeight="1">
      <c r="A47" s="113"/>
      <c r="B47" s="271" t="s">
        <v>639</v>
      </c>
      <c r="C47" s="120" t="s">
        <v>90</v>
      </c>
      <c r="D47" s="125">
        <v>141</v>
      </c>
      <c r="E47" s="125">
        <v>157</v>
      </c>
      <c r="F47" s="125">
        <v>167</v>
      </c>
      <c r="G47" s="125">
        <v>150</v>
      </c>
      <c r="H47" s="125">
        <v>148</v>
      </c>
      <c r="I47" s="125">
        <v>150</v>
      </c>
      <c r="J47" s="125">
        <f t="shared" si="13"/>
        <v>158.04049089352054</v>
      </c>
      <c r="K47" s="125">
        <f t="shared" si="13"/>
        <v>158.84351377352917</v>
      </c>
      <c r="L47" s="125">
        <f t="shared" si="13"/>
        <v>160.70054636830437</v>
      </c>
      <c r="M47" s="125">
        <f t="shared" si="13"/>
        <v>172.36531868737501</v>
      </c>
      <c r="N47" s="125">
        <f t="shared" si="13"/>
        <v>173.66943969848569</v>
      </c>
      <c r="O47" s="125">
        <f t="shared" si="13"/>
        <v>186.57624174466423</v>
      </c>
      <c r="P47" s="125">
        <f t="shared" si="13"/>
        <v>198.28780941519261</v>
      </c>
      <c r="Q47" s="125">
        <f t="shared" si="13"/>
        <v>199.57565107133331</v>
      </c>
      <c r="R47" s="125">
        <f t="shared" si="13"/>
        <v>200.81650513237437</v>
      </c>
      <c r="S47" s="125">
        <f t="shared" si="13"/>
        <v>202.1233127029528</v>
      </c>
      <c r="T47" s="125">
        <f t="shared" si="13"/>
        <v>233.99432092580875</v>
      </c>
      <c r="X47" s="134">
        <v>19.5</v>
      </c>
      <c r="Y47" s="134">
        <v>19.5</v>
      </c>
      <c r="Z47" s="134">
        <v>19.5</v>
      </c>
      <c r="AA47" s="134">
        <v>19.5</v>
      </c>
      <c r="AB47" s="134">
        <v>19.5</v>
      </c>
      <c r="AC47" s="134">
        <v>19.5</v>
      </c>
      <c r="AD47" s="134">
        <v>19.5</v>
      </c>
      <c r="AE47" s="134">
        <v>19.5</v>
      </c>
      <c r="AF47" s="134">
        <v>19.5</v>
      </c>
      <c r="AG47" s="134">
        <v>19.5</v>
      </c>
      <c r="AH47" s="134">
        <v>19.5</v>
      </c>
    </row>
    <row r="48" spans="1:34" s="134" customFormat="1" ht="24.95" customHeight="1">
      <c r="A48" s="113"/>
      <c r="B48" s="271" t="s">
        <v>640</v>
      </c>
      <c r="C48" s="120" t="s">
        <v>90</v>
      </c>
      <c r="D48" s="125">
        <v>119</v>
      </c>
      <c r="E48" s="125">
        <v>137</v>
      </c>
      <c r="F48" s="125">
        <v>148</v>
      </c>
      <c r="G48" s="125">
        <v>137</v>
      </c>
      <c r="H48" s="125">
        <v>134</v>
      </c>
      <c r="I48" s="125">
        <v>144</v>
      </c>
      <c r="J48" s="125">
        <f t="shared" si="13"/>
        <v>151.55677844660687</v>
      </c>
      <c r="K48" s="125">
        <f t="shared" si="13"/>
        <v>152.32685679820489</v>
      </c>
      <c r="L48" s="125">
        <f t="shared" si="13"/>
        <v>154.10770344037391</v>
      </c>
      <c r="M48" s="125">
        <f t="shared" si="13"/>
        <v>165.29392099763652</v>
      </c>
      <c r="N48" s="125">
        <f t="shared" si="13"/>
        <v>166.54453960829142</v>
      </c>
      <c r="O48" s="125">
        <f t="shared" si="13"/>
        <v>178.92183182693441</v>
      </c>
      <c r="P48" s="125">
        <f t="shared" si="13"/>
        <v>190.15292492636416</v>
      </c>
      <c r="Q48" s="125">
        <f t="shared" si="13"/>
        <v>191.38793205302218</v>
      </c>
      <c r="R48" s="125">
        <f t="shared" si="13"/>
        <v>192.57787928078977</v>
      </c>
      <c r="S48" s="125">
        <f t="shared" si="13"/>
        <v>193.83107423308803</v>
      </c>
      <c r="T48" s="125">
        <f t="shared" si="13"/>
        <v>224.39455391346786</v>
      </c>
      <c r="X48" s="134">
        <v>18.7</v>
      </c>
      <c r="Y48" s="134">
        <v>18.7</v>
      </c>
      <c r="Z48" s="134">
        <v>18.7</v>
      </c>
      <c r="AA48" s="134">
        <v>18.7</v>
      </c>
      <c r="AB48" s="134">
        <v>18.7</v>
      </c>
      <c r="AC48" s="134">
        <v>18.7</v>
      </c>
      <c r="AD48" s="134">
        <v>18.7</v>
      </c>
      <c r="AE48" s="134">
        <v>18.7</v>
      </c>
      <c r="AF48" s="134">
        <v>18.7</v>
      </c>
      <c r="AG48" s="134">
        <v>18.7</v>
      </c>
      <c r="AH48" s="134">
        <v>18.7</v>
      </c>
    </row>
    <row r="49" spans="1:34" s="134" customFormat="1" ht="24.95" customHeight="1">
      <c r="A49" s="113"/>
      <c r="B49" s="271" t="s">
        <v>641</v>
      </c>
      <c r="C49" s="120" t="s">
        <v>90</v>
      </c>
      <c r="D49" s="125">
        <v>16</v>
      </c>
      <c r="E49" s="125">
        <v>30</v>
      </c>
      <c r="F49" s="125">
        <v>48</v>
      </c>
      <c r="G49" s="125">
        <v>51</v>
      </c>
      <c r="H49" s="125">
        <v>65</v>
      </c>
      <c r="I49" s="125">
        <v>89</v>
      </c>
      <c r="J49" s="125">
        <f t="shared" si="13"/>
        <v>93.203366424383916</v>
      </c>
      <c r="K49" s="125">
        <f t="shared" si="13"/>
        <v>93.676944020286427</v>
      </c>
      <c r="L49" s="125">
        <f t="shared" si="13"/>
        <v>94.772117089000005</v>
      </c>
      <c r="M49" s="125">
        <f t="shared" si="13"/>
        <v>101.65134178999038</v>
      </c>
      <c r="N49" s="125">
        <f t="shared" si="13"/>
        <v>102.42043879654285</v>
      </c>
      <c r="O49" s="125">
        <f t="shared" si="13"/>
        <v>110.03214256736608</v>
      </c>
      <c r="P49" s="125">
        <f t="shared" si="13"/>
        <v>116.93896452690846</v>
      </c>
      <c r="Q49" s="125">
        <f t="shared" si="13"/>
        <v>117.69846088822221</v>
      </c>
      <c r="R49" s="125">
        <f t="shared" si="13"/>
        <v>118.43024661652848</v>
      </c>
      <c r="S49" s="125">
        <f t="shared" si="13"/>
        <v>119.20092800430548</v>
      </c>
      <c r="T49" s="125">
        <f t="shared" si="13"/>
        <v>137.99665080240004</v>
      </c>
      <c r="X49" s="134">
        <v>11.5</v>
      </c>
      <c r="Y49" s="134">
        <v>11.5</v>
      </c>
      <c r="Z49" s="134">
        <v>11.5</v>
      </c>
      <c r="AA49" s="134">
        <v>11.5</v>
      </c>
      <c r="AB49" s="134">
        <v>11.5</v>
      </c>
      <c r="AC49" s="134">
        <v>11.5</v>
      </c>
      <c r="AD49" s="134">
        <v>11.5</v>
      </c>
      <c r="AE49" s="134">
        <v>11.5</v>
      </c>
      <c r="AF49" s="134">
        <v>11.5</v>
      </c>
      <c r="AG49" s="134">
        <v>11.5</v>
      </c>
      <c r="AH49" s="134">
        <v>11.5</v>
      </c>
    </row>
    <row r="50" spans="1:34" s="134" customFormat="1" ht="24.95" customHeight="1">
      <c r="A50" s="113"/>
      <c r="B50" s="271" t="s">
        <v>642</v>
      </c>
      <c r="C50" s="120" t="s">
        <v>90</v>
      </c>
      <c r="D50" s="125">
        <v>10</v>
      </c>
      <c r="E50" s="125">
        <v>12</v>
      </c>
      <c r="F50" s="125">
        <v>30</v>
      </c>
      <c r="G50" s="125">
        <v>39</v>
      </c>
      <c r="H50" s="125">
        <v>47</v>
      </c>
      <c r="I50" s="125">
        <v>48</v>
      </c>
      <c r="J50" s="125">
        <f t="shared" si="13"/>
        <v>50.248771463580894</v>
      </c>
      <c r="K50" s="125">
        <f t="shared" si="13"/>
        <v>50.504091558763122</v>
      </c>
      <c r="L50" s="125">
        <f t="shared" si="13"/>
        <v>51.09453269146087</v>
      </c>
      <c r="M50" s="125">
        <f t="shared" si="13"/>
        <v>54.803332095473081</v>
      </c>
      <c r="N50" s="125">
        <f t="shared" si="13"/>
        <v>55.217975699005713</v>
      </c>
      <c r="O50" s="125">
        <f t="shared" si="13"/>
        <v>59.321676862406058</v>
      </c>
      <c r="P50" s="125">
        <f t="shared" si="13"/>
        <v>63.045354788420212</v>
      </c>
      <c r="Q50" s="125">
        <f t="shared" si="13"/>
        <v>63.454822391911108</v>
      </c>
      <c r="R50" s="125">
        <f t="shared" si="13"/>
        <v>63.849350349780572</v>
      </c>
      <c r="S50" s="125">
        <f t="shared" si="13"/>
        <v>64.264848141451651</v>
      </c>
      <c r="T50" s="125">
        <f t="shared" si="13"/>
        <v>74.398194345641755</v>
      </c>
      <c r="X50" s="134">
        <v>6.2</v>
      </c>
      <c r="Y50" s="134">
        <v>6.2</v>
      </c>
      <c r="Z50" s="134">
        <v>6.2</v>
      </c>
      <c r="AA50" s="134">
        <v>6.2</v>
      </c>
      <c r="AB50" s="134">
        <v>6.2</v>
      </c>
      <c r="AC50" s="134">
        <v>6.2</v>
      </c>
      <c r="AD50" s="134">
        <v>6.2</v>
      </c>
      <c r="AE50" s="134">
        <v>6.2</v>
      </c>
      <c r="AF50" s="134">
        <v>6.2</v>
      </c>
      <c r="AG50" s="134">
        <v>6.2</v>
      </c>
      <c r="AH50" s="134">
        <v>6.2</v>
      </c>
    </row>
    <row r="51" spans="1:34" s="134" customFormat="1" ht="24.95" customHeight="1">
      <c r="A51" s="113"/>
      <c r="B51" s="271" t="s">
        <v>643</v>
      </c>
      <c r="C51" s="120" t="s">
        <v>90</v>
      </c>
      <c r="D51" s="125">
        <v>45</v>
      </c>
      <c r="E51" s="125">
        <v>55</v>
      </c>
      <c r="F51" s="125">
        <v>71</v>
      </c>
      <c r="G51" s="125">
        <v>100</v>
      </c>
      <c r="H51" s="125">
        <v>117</v>
      </c>
      <c r="I51" s="125">
        <v>133</v>
      </c>
      <c r="J51" s="125">
        <f t="shared" si="13"/>
        <v>140.21028166450799</v>
      </c>
      <c r="K51" s="125">
        <f t="shared" si="13"/>
        <v>140.92270709138739</v>
      </c>
      <c r="L51" s="125">
        <f t="shared" si="13"/>
        <v>142.57022831649567</v>
      </c>
      <c r="M51" s="125">
        <f t="shared" si="13"/>
        <v>152.91897504059426</v>
      </c>
      <c r="N51" s="125">
        <f t="shared" si="13"/>
        <v>154.07596445045144</v>
      </c>
      <c r="O51" s="125">
        <f t="shared" si="13"/>
        <v>165.52661447090722</v>
      </c>
      <c r="P51" s="125">
        <f t="shared" si="13"/>
        <v>175.91687707091444</v>
      </c>
      <c r="Q51" s="125">
        <f t="shared" si="13"/>
        <v>177.05942377097779</v>
      </c>
      <c r="R51" s="125">
        <f t="shared" si="13"/>
        <v>178.16028404051676</v>
      </c>
      <c r="S51" s="125">
        <f t="shared" si="13"/>
        <v>179.31965691082479</v>
      </c>
      <c r="T51" s="125">
        <f t="shared" si="13"/>
        <v>207.59496164187135</v>
      </c>
      <c r="X51" s="134">
        <v>17.3</v>
      </c>
      <c r="Y51" s="134">
        <v>17.3</v>
      </c>
      <c r="Z51" s="134">
        <v>17.3</v>
      </c>
      <c r="AA51" s="134">
        <v>17.3</v>
      </c>
      <c r="AB51" s="134">
        <v>17.3</v>
      </c>
      <c r="AC51" s="134">
        <v>17.3</v>
      </c>
      <c r="AD51" s="134">
        <v>17.3</v>
      </c>
      <c r="AE51" s="134">
        <v>17.3</v>
      </c>
      <c r="AF51" s="134">
        <v>17.3</v>
      </c>
      <c r="AG51" s="134">
        <v>17.3</v>
      </c>
      <c r="AH51" s="134">
        <v>17.3</v>
      </c>
    </row>
    <row r="52" spans="1:34" s="134" customFormat="1" ht="24.95" customHeight="1">
      <c r="A52" s="120" t="s">
        <v>637</v>
      </c>
      <c r="B52" s="132" t="s">
        <v>621</v>
      </c>
      <c r="C52" s="120" t="s">
        <v>90</v>
      </c>
      <c r="D52" s="127">
        <f t="shared" ref="D52:T52" si="14">SUM(D53:D59)</f>
        <v>549</v>
      </c>
      <c r="E52" s="127">
        <f t="shared" si="14"/>
        <v>612</v>
      </c>
      <c r="F52" s="127">
        <f t="shared" si="14"/>
        <v>696</v>
      </c>
      <c r="G52" s="127">
        <f t="shared" si="14"/>
        <v>976</v>
      </c>
      <c r="H52" s="127">
        <f t="shared" si="14"/>
        <v>1036</v>
      </c>
      <c r="I52" s="127">
        <f t="shared" si="14"/>
        <v>1063</v>
      </c>
      <c r="J52" s="127">
        <f t="shared" si="14"/>
        <v>1094.04</v>
      </c>
      <c r="K52" s="127">
        <f t="shared" si="14"/>
        <v>1112.2739999999999</v>
      </c>
      <c r="L52" s="127">
        <f t="shared" si="14"/>
        <v>1118.3520000000001</v>
      </c>
      <c r="M52" s="127">
        <f t="shared" si="14"/>
        <v>1130.5079999999998</v>
      </c>
      <c r="N52" s="127">
        <f t="shared" si="14"/>
        <v>1142.664</v>
      </c>
      <c r="O52" s="127">
        <f t="shared" si="14"/>
        <v>1148.742</v>
      </c>
      <c r="P52" s="127">
        <f t="shared" si="14"/>
        <v>1148.742</v>
      </c>
      <c r="Q52" s="127">
        <f t="shared" si="14"/>
        <v>1154.82</v>
      </c>
      <c r="R52" s="127">
        <f t="shared" si="14"/>
        <v>1154.82</v>
      </c>
      <c r="S52" s="127">
        <f t="shared" si="14"/>
        <v>1154.82</v>
      </c>
      <c r="T52" s="127">
        <f t="shared" si="14"/>
        <v>1227.7560000000001</v>
      </c>
    </row>
    <row r="53" spans="1:34" s="134" customFormat="1" ht="24.95" customHeight="1">
      <c r="A53" s="113"/>
      <c r="B53" s="132" t="s">
        <v>644</v>
      </c>
      <c r="C53" s="120" t="s">
        <v>90</v>
      </c>
      <c r="D53" s="125">
        <v>159</v>
      </c>
      <c r="E53" s="125">
        <v>160</v>
      </c>
      <c r="F53" s="125">
        <v>160</v>
      </c>
      <c r="G53" s="125">
        <v>174</v>
      </c>
      <c r="H53" s="125">
        <v>173</v>
      </c>
      <c r="I53" s="125">
        <v>169</v>
      </c>
      <c r="J53" s="125">
        <f t="shared" ref="J53:T53" si="15">J4*97/100</f>
        <v>174.6</v>
      </c>
      <c r="K53" s="125">
        <f t="shared" si="15"/>
        <v>177.51</v>
      </c>
      <c r="L53" s="125">
        <f t="shared" si="15"/>
        <v>178.48</v>
      </c>
      <c r="M53" s="125">
        <f t="shared" si="15"/>
        <v>180.42</v>
      </c>
      <c r="N53" s="125">
        <f t="shared" si="15"/>
        <v>182.36</v>
      </c>
      <c r="O53" s="125">
        <f t="shared" si="15"/>
        <v>183.33</v>
      </c>
      <c r="P53" s="125">
        <f t="shared" si="15"/>
        <v>183.33</v>
      </c>
      <c r="Q53" s="125">
        <f t="shared" si="15"/>
        <v>184.3</v>
      </c>
      <c r="R53" s="125">
        <f t="shared" si="15"/>
        <v>184.3</v>
      </c>
      <c r="S53" s="125">
        <f t="shared" si="15"/>
        <v>184.3</v>
      </c>
      <c r="T53" s="125">
        <f t="shared" si="15"/>
        <v>195.94</v>
      </c>
      <c r="U53" s="134" t="s">
        <v>220</v>
      </c>
    </row>
    <row r="54" spans="1:34" s="134" customFormat="1" ht="24.95" customHeight="1">
      <c r="A54" s="113"/>
      <c r="B54" s="271" t="s">
        <v>138</v>
      </c>
      <c r="C54" s="120" t="s">
        <v>90</v>
      </c>
      <c r="D54" s="125">
        <v>34</v>
      </c>
      <c r="E54" s="125">
        <v>35</v>
      </c>
      <c r="F54" s="125">
        <v>76</v>
      </c>
      <c r="G54" s="125">
        <v>95</v>
      </c>
      <c r="H54" s="125">
        <v>100</v>
      </c>
      <c r="I54" s="125">
        <v>112</v>
      </c>
      <c r="J54" s="125">
        <f t="shared" ref="J54:T54" si="16">64*J4/100</f>
        <v>115.2</v>
      </c>
      <c r="K54" s="125">
        <f t="shared" si="16"/>
        <v>117.12</v>
      </c>
      <c r="L54" s="125">
        <f t="shared" si="16"/>
        <v>117.76</v>
      </c>
      <c r="M54" s="125">
        <f t="shared" si="16"/>
        <v>119.04</v>
      </c>
      <c r="N54" s="125">
        <f t="shared" si="16"/>
        <v>120.32</v>
      </c>
      <c r="O54" s="125">
        <f t="shared" si="16"/>
        <v>120.96</v>
      </c>
      <c r="P54" s="125">
        <f t="shared" si="16"/>
        <v>120.96</v>
      </c>
      <c r="Q54" s="125">
        <f t="shared" si="16"/>
        <v>121.6</v>
      </c>
      <c r="R54" s="125">
        <f t="shared" si="16"/>
        <v>121.6</v>
      </c>
      <c r="S54" s="125">
        <f t="shared" si="16"/>
        <v>121.6</v>
      </c>
      <c r="T54" s="125">
        <f t="shared" si="16"/>
        <v>129.28</v>
      </c>
      <c r="U54" s="134" t="s">
        <v>221</v>
      </c>
    </row>
    <row r="55" spans="1:34" s="134" customFormat="1" ht="24.95" customHeight="1">
      <c r="A55" s="113"/>
      <c r="B55" s="271" t="s">
        <v>139</v>
      </c>
      <c r="C55" s="120" t="s">
        <v>90</v>
      </c>
      <c r="D55" s="125">
        <v>79</v>
      </c>
      <c r="E55" s="125">
        <v>75</v>
      </c>
      <c r="F55" s="125">
        <v>98</v>
      </c>
      <c r="G55" s="125">
        <v>152</v>
      </c>
      <c r="H55" s="125">
        <v>165</v>
      </c>
      <c r="I55" s="125">
        <v>164</v>
      </c>
      <c r="J55" s="125">
        <f t="shared" ref="J55:T55" si="17">93.7*J4/100</f>
        <v>168.66</v>
      </c>
      <c r="K55" s="125">
        <f t="shared" si="17"/>
        <v>171.47100000000003</v>
      </c>
      <c r="L55" s="125">
        <f t="shared" si="17"/>
        <v>172.40799999999999</v>
      </c>
      <c r="M55" s="125">
        <f t="shared" si="17"/>
        <v>174.28200000000001</v>
      </c>
      <c r="N55" s="125">
        <f t="shared" si="17"/>
        <v>176.15600000000003</v>
      </c>
      <c r="O55" s="125">
        <f t="shared" si="17"/>
        <v>177.09299999999999</v>
      </c>
      <c r="P55" s="125">
        <f t="shared" si="17"/>
        <v>177.09299999999999</v>
      </c>
      <c r="Q55" s="125">
        <f t="shared" si="17"/>
        <v>178.03</v>
      </c>
      <c r="R55" s="125">
        <f t="shared" si="17"/>
        <v>178.03</v>
      </c>
      <c r="S55" s="125">
        <f t="shared" si="17"/>
        <v>178.03</v>
      </c>
      <c r="T55" s="125">
        <f t="shared" si="17"/>
        <v>189.274</v>
      </c>
      <c r="U55" s="134" t="s">
        <v>222</v>
      </c>
    </row>
    <row r="56" spans="1:34" s="134" customFormat="1" ht="24.95" customHeight="1">
      <c r="A56" s="113"/>
      <c r="B56" s="271" t="s">
        <v>140</v>
      </c>
      <c r="C56" s="120" t="s">
        <v>90</v>
      </c>
      <c r="D56" s="125">
        <v>49</v>
      </c>
      <c r="E56" s="125">
        <v>74</v>
      </c>
      <c r="F56" s="125">
        <v>99</v>
      </c>
      <c r="G56" s="125">
        <v>101</v>
      </c>
      <c r="H56" s="125">
        <v>98</v>
      </c>
      <c r="I56" s="125">
        <v>103</v>
      </c>
      <c r="J56" s="125">
        <f t="shared" ref="J56:T56" si="18">58.8*J4/100</f>
        <v>105.84</v>
      </c>
      <c r="K56" s="125">
        <f t="shared" si="18"/>
        <v>107.604</v>
      </c>
      <c r="L56" s="125">
        <f t="shared" si="18"/>
        <v>108.19199999999999</v>
      </c>
      <c r="M56" s="125">
        <f t="shared" si="18"/>
        <v>109.36799999999999</v>
      </c>
      <c r="N56" s="125">
        <f t="shared" si="18"/>
        <v>110.544</v>
      </c>
      <c r="O56" s="125">
        <f t="shared" si="18"/>
        <v>111.13199999999999</v>
      </c>
      <c r="P56" s="125">
        <f t="shared" si="18"/>
        <v>111.13199999999999</v>
      </c>
      <c r="Q56" s="125">
        <f t="shared" si="18"/>
        <v>111.72</v>
      </c>
      <c r="R56" s="125">
        <f t="shared" si="18"/>
        <v>111.72</v>
      </c>
      <c r="S56" s="125">
        <f t="shared" si="18"/>
        <v>111.72</v>
      </c>
      <c r="T56" s="125">
        <f t="shared" si="18"/>
        <v>118.77599999999998</v>
      </c>
      <c r="U56" s="134" t="s">
        <v>223</v>
      </c>
    </row>
    <row r="57" spans="1:34" s="134" customFormat="1" ht="24.95" customHeight="1">
      <c r="A57" s="113"/>
      <c r="B57" s="271" t="s">
        <v>141</v>
      </c>
      <c r="C57" s="120" t="s">
        <v>90</v>
      </c>
      <c r="D57" s="125">
        <f>23+68</f>
        <v>91</v>
      </c>
      <c r="E57" s="125">
        <v>98</v>
      </c>
      <c r="F57" s="125">
        <v>98</v>
      </c>
      <c r="G57" s="125">
        <v>124</v>
      </c>
      <c r="H57" s="125">
        <v>143</v>
      </c>
      <c r="I57" s="125">
        <v>156</v>
      </c>
      <c r="J57" s="125">
        <f t="shared" ref="J57:T57" si="19">89.1*J4/100</f>
        <v>160.38</v>
      </c>
      <c r="K57" s="125">
        <f t="shared" si="19"/>
        <v>163.053</v>
      </c>
      <c r="L57" s="125">
        <f t="shared" si="19"/>
        <v>163.94399999999999</v>
      </c>
      <c r="M57" s="125">
        <f t="shared" si="19"/>
        <v>165.726</v>
      </c>
      <c r="N57" s="125">
        <f t="shared" si="19"/>
        <v>167.50799999999998</v>
      </c>
      <c r="O57" s="125">
        <f t="shared" si="19"/>
        <v>168.39899999999997</v>
      </c>
      <c r="P57" s="125">
        <f t="shared" si="19"/>
        <v>168.39899999999997</v>
      </c>
      <c r="Q57" s="125">
        <f t="shared" si="19"/>
        <v>169.29</v>
      </c>
      <c r="R57" s="125">
        <f t="shared" si="19"/>
        <v>169.29</v>
      </c>
      <c r="S57" s="125">
        <f t="shared" si="19"/>
        <v>169.29</v>
      </c>
      <c r="T57" s="125">
        <f t="shared" si="19"/>
        <v>179.98199999999997</v>
      </c>
      <c r="U57" s="134" t="s">
        <v>224</v>
      </c>
    </row>
    <row r="58" spans="1:34" s="134" customFormat="1" ht="24.95" customHeight="1">
      <c r="A58" s="113"/>
      <c r="B58" s="271" t="s">
        <v>142</v>
      </c>
      <c r="C58" s="120" t="s">
        <v>90</v>
      </c>
      <c r="D58" s="125">
        <v>89</v>
      </c>
      <c r="E58" s="125">
        <v>103</v>
      </c>
      <c r="F58" s="125">
        <v>104</v>
      </c>
      <c r="G58" s="125">
        <v>194</v>
      </c>
      <c r="H58" s="125">
        <v>212</v>
      </c>
      <c r="I58" s="125">
        <v>214</v>
      </c>
      <c r="J58" s="125">
        <f t="shared" ref="J58:T58" si="20">122.3*J4/100</f>
        <v>220.14</v>
      </c>
      <c r="K58" s="125">
        <f t="shared" si="20"/>
        <v>223.80899999999997</v>
      </c>
      <c r="L58" s="125">
        <f t="shared" si="20"/>
        <v>225.03200000000001</v>
      </c>
      <c r="M58" s="125">
        <f t="shared" si="20"/>
        <v>227.47799999999998</v>
      </c>
      <c r="N58" s="125">
        <f t="shared" si="20"/>
        <v>229.92399999999998</v>
      </c>
      <c r="O58" s="125">
        <f t="shared" si="20"/>
        <v>231.14700000000002</v>
      </c>
      <c r="P58" s="125">
        <f t="shared" si="20"/>
        <v>231.14700000000002</v>
      </c>
      <c r="Q58" s="125">
        <f t="shared" si="20"/>
        <v>232.37</v>
      </c>
      <c r="R58" s="125">
        <f t="shared" si="20"/>
        <v>232.37</v>
      </c>
      <c r="S58" s="125">
        <f t="shared" si="20"/>
        <v>232.37</v>
      </c>
      <c r="T58" s="125">
        <f t="shared" si="20"/>
        <v>247.04599999999999</v>
      </c>
      <c r="U58" s="134" t="s">
        <v>225</v>
      </c>
    </row>
    <row r="59" spans="1:34" s="134" customFormat="1" ht="24.95" customHeight="1">
      <c r="A59" s="113"/>
      <c r="B59" s="271" t="s">
        <v>143</v>
      </c>
      <c r="C59" s="120" t="s">
        <v>90</v>
      </c>
      <c r="D59" s="125">
        <v>48</v>
      </c>
      <c r="E59" s="125">
        <v>67</v>
      </c>
      <c r="F59" s="125">
        <v>61</v>
      </c>
      <c r="G59" s="125">
        <v>136</v>
      </c>
      <c r="H59" s="125">
        <v>145</v>
      </c>
      <c r="I59" s="125">
        <v>145</v>
      </c>
      <c r="J59" s="125">
        <f t="shared" ref="J59:T59" si="21">82.9*J4/100</f>
        <v>149.22000000000003</v>
      </c>
      <c r="K59" s="125">
        <f t="shared" si="21"/>
        <v>151.70699999999999</v>
      </c>
      <c r="L59" s="125">
        <f t="shared" si="21"/>
        <v>152.536</v>
      </c>
      <c r="M59" s="125">
        <f t="shared" si="21"/>
        <v>154.19400000000002</v>
      </c>
      <c r="N59" s="125">
        <f t="shared" si="21"/>
        <v>155.852</v>
      </c>
      <c r="O59" s="125">
        <f t="shared" si="21"/>
        <v>156.68100000000001</v>
      </c>
      <c r="P59" s="125">
        <f t="shared" si="21"/>
        <v>156.68100000000001</v>
      </c>
      <c r="Q59" s="125">
        <f t="shared" si="21"/>
        <v>157.51000000000002</v>
      </c>
      <c r="R59" s="125">
        <f t="shared" si="21"/>
        <v>157.51000000000002</v>
      </c>
      <c r="S59" s="125">
        <f t="shared" si="21"/>
        <v>157.51000000000002</v>
      </c>
      <c r="T59" s="125">
        <f t="shared" si="21"/>
        <v>167.45800000000003</v>
      </c>
      <c r="U59" s="134" t="s">
        <v>226</v>
      </c>
    </row>
    <row r="60" spans="1:34" s="122" customFormat="1" ht="24.95" customHeight="1">
      <c r="A60" s="113">
        <v>7</v>
      </c>
      <c r="B60" s="115" t="s">
        <v>144</v>
      </c>
      <c r="C60" s="113"/>
      <c r="D60" s="125"/>
      <c r="E60" s="125"/>
      <c r="F60" s="125"/>
      <c r="G60" s="125"/>
      <c r="H60" s="125"/>
      <c r="I60" s="125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</row>
    <row r="61" spans="1:34" s="138" customFormat="1" ht="24.95" customHeight="1">
      <c r="A61" s="120" t="s">
        <v>576</v>
      </c>
      <c r="B61" s="119" t="s">
        <v>106</v>
      </c>
      <c r="C61" s="120" t="s">
        <v>107</v>
      </c>
      <c r="D61" s="125">
        <v>3476</v>
      </c>
      <c r="E61" s="125">
        <v>3471</v>
      </c>
      <c r="F61" s="125">
        <v>3539</v>
      </c>
      <c r="G61" s="125">
        <v>3549</v>
      </c>
      <c r="H61" s="125">
        <v>3342</v>
      </c>
      <c r="I61" s="125">
        <v>3300</v>
      </c>
      <c r="J61" s="125">
        <v>3218</v>
      </c>
      <c r="K61" s="125">
        <f t="shared" ref="K61:T61" si="22">K30</f>
        <v>3194.439693786408</v>
      </c>
      <c r="L61" s="125">
        <f t="shared" si="22"/>
        <v>3231.7857489855073</v>
      </c>
      <c r="M61" s="125">
        <f t="shared" si="22"/>
        <v>3273.7952267307696</v>
      </c>
      <c r="N61" s="125">
        <f t="shared" si="22"/>
        <v>3298.5648565714287</v>
      </c>
      <c r="O61" s="125">
        <f t="shared" si="22"/>
        <v>3322.2265267924536</v>
      </c>
      <c r="P61" s="125">
        <f t="shared" si="22"/>
        <v>3344.936056261683</v>
      </c>
      <c r="Q61" s="125">
        <f t="shared" si="22"/>
        <v>3366.6607805555554</v>
      </c>
      <c r="R61" s="125">
        <f t="shared" si="22"/>
        <v>3387.5928666055052</v>
      </c>
      <c r="S61" s="125">
        <f t="shared" si="22"/>
        <v>3409.6375287272735</v>
      </c>
      <c r="T61" s="125">
        <f t="shared" si="22"/>
        <v>3529.3261074782613</v>
      </c>
      <c r="U61" s="137"/>
    </row>
    <row r="62" spans="1:34" s="134" customFormat="1" ht="24.95" customHeight="1">
      <c r="A62" s="113"/>
      <c r="B62" s="132" t="s">
        <v>122</v>
      </c>
      <c r="C62" s="120" t="s">
        <v>90</v>
      </c>
      <c r="D62" s="125">
        <v>1583</v>
      </c>
      <c r="E62" s="125">
        <v>1590</v>
      </c>
      <c r="F62" s="125">
        <v>1598</v>
      </c>
      <c r="G62" s="125">
        <v>1619</v>
      </c>
      <c r="H62" s="125">
        <v>1625</v>
      </c>
      <c r="I62" s="125">
        <v>1640</v>
      </c>
      <c r="J62" s="125">
        <f>I62+30</f>
        <v>1670</v>
      </c>
      <c r="K62" s="125">
        <f>J62+30</f>
        <v>1700</v>
      </c>
      <c r="L62" s="125">
        <f t="shared" ref="L62:R62" si="23">K62+40</f>
        <v>1740</v>
      </c>
      <c r="M62" s="125">
        <f t="shared" si="23"/>
        <v>1780</v>
      </c>
      <c r="N62" s="125">
        <f t="shared" si="23"/>
        <v>1820</v>
      </c>
      <c r="O62" s="139">
        <f t="shared" si="23"/>
        <v>1860</v>
      </c>
      <c r="P62" s="125">
        <f t="shared" si="23"/>
        <v>1900</v>
      </c>
      <c r="Q62" s="125">
        <f t="shared" si="23"/>
        <v>1940</v>
      </c>
      <c r="R62" s="125">
        <f t="shared" si="23"/>
        <v>1980</v>
      </c>
      <c r="S62" s="125">
        <f>R62+50</f>
        <v>2030</v>
      </c>
      <c r="T62" s="125">
        <f>S62+100</f>
        <v>2130</v>
      </c>
      <c r="AG62" s="140">
        <f t="shared" ref="AG62:AG77" si="24">I62-H62</f>
        <v>15</v>
      </c>
      <c r="AH62" s="140">
        <f t="shared" ref="AH62:AH77" si="25">J62-I62</f>
        <v>30</v>
      </c>
    </row>
    <row r="63" spans="1:34" s="134" customFormat="1" ht="24.95" customHeight="1">
      <c r="A63" s="113"/>
      <c r="B63" s="132" t="s">
        <v>227</v>
      </c>
      <c r="C63" s="120" t="s">
        <v>108</v>
      </c>
      <c r="D63" s="131">
        <f t="shared" ref="D63:T63" si="26">D61/D30</f>
        <v>1.0320665083135392</v>
      </c>
      <c r="E63" s="131">
        <f t="shared" si="26"/>
        <v>1.0275310834813498</v>
      </c>
      <c r="F63" s="131">
        <f t="shared" si="26"/>
        <v>1.024312590448625</v>
      </c>
      <c r="G63" s="131">
        <f t="shared" si="26"/>
        <v>1.1032017407522534</v>
      </c>
      <c r="H63" s="131">
        <f t="shared" si="26"/>
        <v>1.0539262062440871</v>
      </c>
      <c r="I63" s="131">
        <f t="shared" si="26"/>
        <v>1.047286575690257</v>
      </c>
      <c r="J63" s="130">
        <f t="shared" si="26"/>
        <v>1.0124940076768669</v>
      </c>
      <c r="K63" s="130">
        <f t="shared" si="26"/>
        <v>1</v>
      </c>
      <c r="L63" s="130">
        <f t="shared" si="26"/>
        <v>1</v>
      </c>
      <c r="M63" s="130">
        <f t="shared" si="26"/>
        <v>1</v>
      </c>
      <c r="N63" s="130">
        <f t="shared" si="26"/>
        <v>1</v>
      </c>
      <c r="O63" s="130">
        <f t="shared" si="26"/>
        <v>1</v>
      </c>
      <c r="P63" s="130">
        <f t="shared" si="26"/>
        <v>1</v>
      </c>
      <c r="Q63" s="130">
        <f t="shared" si="26"/>
        <v>1</v>
      </c>
      <c r="R63" s="130">
        <f t="shared" si="26"/>
        <v>1</v>
      </c>
      <c r="S63" s="130">
        <f t="shared" si="26"/>
        <v>1</v>
      </c>
      <c r="T63" s="130">
        <f t="shared" si="26"/>
        <v>1</v>
      </c>
      <c r="AG63" s="140">
        <f t="shared" si="24"/>
        <v>-6.6396305538301004E-3</v>
      </c>
      <c r="AH63" s="140">
        <f t="shared" si="25"/>
        <v>-3.4792568013390035E-2</v>
      </c>
    </row>
    <row r="64" spans="1:34" s="134" customFormat="1" ht="24.95" customHeight="1">
      <c r="A64" s="120" t="s">
        <v>577</v>
      </c>
      <c r="B64" s="108" t="s">
        <v>228</v>
      </c>
      <c r="C64" s="109" t="s">
        <v>107</v>
      </c>
      <c r="D64" s="125">
        <v>140</v>
      </c>
      <c r="E64" s="125">
        <v>157</v>
      </c>
      <c r="F64" s="125">
        <v>183</v>
      </c>
      <c r="G64" s="125">
        <v>214</v>
      </c>
      <c r="H64" s="125">
        <v>260</v>
      </c>
      <c r="I64" s="125">
        <v>299</v>
      </c>
      <c r="J64" s="125">
        <f>I64+10</f>
        <v>309</v>
      </c>
      <c r="K64" s="125">
        <f>J64+20</f>
        <v>329</v>
      </c>
      <c r="L64" s="125">
        <f>K64+20</f>
        <v>349</v>
      </c>
      <c r="M64" s="125">
        <f>L64+20</f>
        <v>369</v>
      </c>
      <c r="N64" s="125">
        <f>M64+20</f>
        <v>389</v>
      </c>
      <c r="O64" s="125">
        <f>N64+25</f>
        <v>414</v>
      </c>
      <c r="P64" s="125">
        <f>O64+25</f>
        <v>439</v>
      </c>
      <c r="Q64" s="125">
        <f>P64+25</f>
        <v>464</v>
      </c>
      <c r="R64" s="125">
        <f>Q64+25</f>
        <v>489</v>
      </c>
      <c r="S64" s="125">
        <f>R64+25</f>
        <v>514</v>
      </c>
      <c r="T64" s="125">
        <f>S64+100</f>
        <v>614</v>
      </c>
      <c r="AG64" s="140">
        <f t="shared" si="24"/>
        <v>39</v>
      </c>
      <c r="AH64" s="140">
        <f t="shared" si="25"/>
        <v>10</v>
      </c>
    </row>
    <row r="65" spans="1:34" s="134" customFormat="1" ht="24.95" customHeight="1">
      <c r="A65" s="120"/>
      <c r="B65" s="132" t="s">
        <v>122</v>
      </c>
      <c r="C65" s="120" t="s">
        <v>90</v>
      </c>
      <c r="D65" s="125">
        <v>91</v>
      </c>
      <c r="E65" s="125">
        <v>113</v>
      </c>
      <c r="F65" s="125">
        <v>135</v>
      </c>
      <c r="G65" s="125">
        <v>160</v>
      </c>
      <c r="H65" s="125">
        <v>183</v>
      </c>
      <c r="I65" s="125">
        <v>203</v>
      </c>
      <c r="J65" s="125">
        <f>I65</f>
        <v>203</v>
      </c>
      <c r="K65" s="125">
        <f t="shared" ref="K65:S65" si="27">J65+5</f>
        <v>208</v>
      </c>
      <c r="L65" s="125">
        <f t="shared" si="27"/>
        <v>213</v>
      </c>
      <c r="M65" s="125">
        <f t="shared" si="27"/>
        <v>218</v>
      </c>
      <c r="N65" s="125">
        <f t="shared" si="27"/>
        <v>223</v>
      </c>
      <c r="O65" s="125">
        <f t="shared" si="27"/>
        <v>228</v>
      </c>
      <c r="P65" s="125">
        <f t="shared" si="27"/>
        <v>233</v>
      </c>
      <c r="Q65" s="125">
        <f t="shared" si="27"/>
        <v>238</v>
      </c>
      <c r="R65" s="125">
        <f t="shared" si="27"/>
        <v>243</v>
      </c>
      <c r="S65" s="125">
        <f t="shared" si="27"/>
        <v>248</v>
      </c>
      <c r="T65" s="125">
        <f>S65+25</f>
        <v>273</v>
      </c>
      <c r="AG65" s="140">
        <f t="shared" si="24"/>
        <v>20</v>
      </c>
      <c r="AH65" s="140">
        <f t="shared" si="25"/>
        <v>0</v>
      </c>
    </row>
    <row r="66" spans="1:34" s="134" customFormat="1" ht="24.95" customHeight="1">
      <c r="A66" s="120"/>
      <c r="B66" s="132" t="s">
        <v>109</v>
      </c>
      <c r="C66" s="120" t="s">
        <v>110</v>
      </c>
      <c r="D66" s="130">
        <f t="shared" ref="D66:T66" si="28">D64/D4</f>
        <v>0.82352941176470584</v>
      </c>
      <c r="E66" s="130">
        <f t="shared" si="28"/>
        <v>0.90751445086705207</v>
      </c>
      <c r="F66" s="130">
        <f t="shared" si="28"/>
        <v>1.0578034682080926</v>
      </c>
      <c r="G66" s="130">
        <f t="shared" si="28"/>
        <v>1.2369942196531791</v>
      </c>
      <c r="H66" s="130">
        <f t="shared" si="28"/>
        <v>1.4857142857142858</v>
      </c>
      <c r="I66" s="130">
        <f t="shared" si="28"/>
        <v>1.7085714285714286</v>
      </c>
      <c r="J66" s="128">
        <f t="shared" si="28"/>
        <v>1.7166666666666666</v>
      </c>
      <c r="K66" s="128">
        <f t="shared" si="28"/>
        <v>1.7978142076502732</v>
      </c>
      <c r="L66" s="128">
        <f t="shared" si="28"/>
        <v>1.8967391304347827</v>
      </c>
      <c r="M66" s="128">
        <f t="shared" si="28"/>
        <v>1.9838709677419355</v>
      </c>
      <c r="N66" s="128">
        <f t="shared" si="28"/>
        <v>2.0691489361702127</v>
      </c>
      <c r="O66" s="128">
        <f t="shared" si="28"/>
        <v>2.1904761904761907</v>
      </c>
      <c r="P66" s="128">
        <f t="shared" si="28"/>
        <v>2.3227513227513228</v>
      </c>
      <c r="Q66" s="128">
        <f t="shared" si="28"/>
        <v>2.4421052631578948</v>
      </c>
      <c r="R66" s="128">
        <f t="shared" si="28"/>
        <v>2.5736842105263156</v>
      </c>
      <c r="S66" s="128">
        <f t="shared" si="28"/>
        <v>2.7052631578947368</v>
      </c>
      <c r="T66" s="128">
        <f t="shared" si="28"/>
        <v>3.0396039603960396</v>
      </c>
      <c r="U66" s="140"/>
      <c r="AG66" s="140">
        <f t="shared" si="24"/>
        <v>0.22285714285714286</v>
      </c>
      <c r="AH66" s="140">
        <f t="shared" si="25"/>
        <v>8.0952380952379333E-3</v>
      </c>
    </row>
    <row r="67" spans="1:34" s="134" customFormat="1" ht="24.95" customHeight="1">
      <c r="A67" s="120" t="s">
        <v>578</v>
      </c>
      <c r="B67" s="132" t="s">
        <v>112</v>
      </c>
      <c r="C67" s="120" t="s">
        <v>107</v>
      </c>
      <c r="D67" s="125">
        <v>828</v>
      </c>
      <c r="E67" s="125">
        <v>1000</v>
      </c>
      <c r="F67" s="125">
        <v>1094</v>
      </c>
      <c r="G67" s="125">
        <v>1165</v>
      </c>
      <c r="H67" s="125">
        <v>1178</v>
      </c>
      <c r="I67" s="125">
        <v>1260</v>
      </c>
      <c r="J67" s="125">
        <v>1302</v>
      </c>
      <c r="K67" s="125">
        <v>1340</v>
      </c>
      <c r="L67" s="125">
        <v>1363</v>
      </c>
      <c r="M67" s="125">
        <v>1395</v>
      </c>
      <c r="N67" s="125">
        <v>1413</v>
      </c>
      <c r="O67" s="125">
        <v>1435</v>
      </c>
      <c r="P67" s="125">
        <v>1448</v>
      </c>
      <c r="Q67" s="125">
        <v>1468</v>
      </c>
      <c r="R67" s="125">
        <v>1476</v>
      </c>
      <c r="S67" s="125">
        <v>1500</v>
      </c>
      <c r="T67" s="125">
        <v>1527</v>
      </c>
      <c r="AG67" s="140">
        <f t="shared" si="24"/>
        <v>82</v>
      </c>
      <c r="AH67" s="140">
        <f t="shared" si="25"/>
        <v>42</v>
      </c>
    </row>
    <row r="68" spans="1:34" s="134" customFormat="1" ht="24.95" customHeight="1">
      <c r="A68" s="120"/>
      <c r="B68" s="132" t="s">
        <v>122</v>
      </c>
      <c r="C68" s="120" t="s">
        <v>90</v>
      </c>
      <c r="D68" s="125">
        <v>302</v>
      </c>
      <c r="E68" s="125">
        <v>336</v>
      </c>
      <c r="F68" s="125">
        <v>378</v>
      </c>
      <c r="G68" s="125">
        <v>406</v>
      </c>
      <c r="H68" s="125">
        <v>540</v>
      </c>
      <c r="I68" s="125">
        <v>568</v>
      </c>
      <c r="J68" s="125">
        <f t="shared" ref="J68:O68" si="29">I68+10</f>
        <v>578</v>
      </c>
      <c r="K68" s="125">
        <f t="shared" si="29"/>
        <v>588</v>
      </c>
      <c r="L68" s="125">
        <f t="shared" si="29"/>
        <v>598</v>
      </c>
      <c r="M68" s="125">
        <f t="shared" si="29"/>
        <v>608</v>
      </c>
      <c r="N68" s="125">
        <f t="shared" si="29"/>
        <v>618</v>
      </c>
      <c r="O68" s="125">
        <f t="shared" si="29"/>
        <v>628</v>
      </c>
      <c r="P68" s="125">
        <f>O68+15</f>
        <v>643</v>
      </c>
      <c r="Q68" s="125">
        <f>P68+15</f>
        <v>658</v>
      </c>
      <c r="R68" s="125">
        <f>Q68+20</f>
        <v>678</v>
      </c>
      <c r="S68" s="125">
        <f>R68+20</f>
        <v>698</v>
      </c>
      <c r="T68" s="125">
        <f>S68+50</f>
        <v>748</v>
      </c>
      <c r="AG68" s="140">
        <f t="shared" si="24"/>
        <v>28</v>
      </c>
      <c r="AH68" s="140">
        <f t="shared" si="25"/>
        <v>10</v>
      </c>
    </row>
    <row r="69" spans="1:34" s="134" customFormat="1" ht="24.95" customHeight="1">
      <c r="A69" s="120" t="s">
        <v>579</v>
      </c>
      <c r="B69" s="119" t="s">
        <v>229</v>
      </c>
      <c r="C69" s="120" t="s">
        <v>107</v>
      </c>
      <c r="D69" s="125">
        <v>550</v>
      </c>
      <c r="E69" s="125">
        <v>629</v>
      </c>
      <c r="F69" s="125">
        <v>686</v>
      </c>
      <c r="G69" s="125">
        <v>791</v>
      </c>
      <c r="H69" s="125">
        <v>875</v>
      </c>
      <c r="I69" s="125">
        <v>1059</v>
      </c>
      <c r="J69" s="125">
        <v>1109</v>
      </c>
      <c r="K69" s="125">
        <v>1159</v>
      </c>
      <c r="L69" s="125">
        <v>1209</v>
      </c>
      <c r="M69" s="125">
        <v>1259</v>
      </c>
      <c r="N69" s="125">
        <v>1309</v>
      </c>
      <c r="O69" s="125">
        <v>1359</v>
      </c>
      <c r="P69" s="125">
        <v>1409</v>
      </c>
      <c r="Q69" s="125">
        <v>1459</v>
      </c>
      <c r="R69" s="125">
        <v>1509</v>
      </c>
      <c r="S69" s="125">
        <v>1559</v>
      </c>
      <c r="T69" s="125">
        <f>S69+250</f>
        <v>1809</v>
      </c>
      <c r="AG69" s="140">
        <f t="shared" si="24"/>
        <v>184</v>
      </c>
      <c r="AH69" s="140">
        <f t="shared" si="25"/>
        <v>50</v>
      </c>
    </row>
    <row r="70" spans="1:34" s="134" customFormat="1" ht="24.95" customHeight="1">
      <c r="A70" s="120"/>
      <c r="B70" s="132" t="s">
        <v>37</v>
      </c>
      <c r="C70" s="120" t="s">
        <v>90</v>
      </c>
      <c r="D70" s="125">
        <v>180</v>
      </c>
      <c r="E70" s="125">
        <v>188</v>
      </c>
      <c r="F70" s="125">
        <v>199</v>
      </c>
      <c r="G70" s="125">
        <v>220</v>
      </c>
      <c r="H70" s="125">
        <v>244</v>
      </c>
      <c r="I70" s="125">
        <v>323</v>
      </c>
      <c r="J70" s="125">
        <f>I70+20</f>
        <v>343</v>
      </c>
      <c r="K70" s="125">
        <f>J70+20</f>
        <v>363</v>
      </c>
      <c r="L70" s="125">
        <f>K70+20</f>
        <v>383</v>
      </c>
      <c r="M70" s="125">
        <f t="shared" ref="M70:S70" si="30">L70+25</f>
        <v>408</v>
      </c>
      <c r="N70" s="125">
        <f t="shared" si="30"/>
        <v>433</v>
      </c>
      <c r="O70" s="125">
        <f t="shared" si="30"/>
        <v>458</v>
      </c>
      <c r="P70" s="125">
        <f t="shared" si="30"/>
        <v>483</v>
      </c>
      <c r="Q70" s="125">
        <f t="shared" si="30"/>
        <v>508</v>
      </c>
      <c r="R70" s="125">
        <f t="shared" si="30"/>
        <v>533</v>
      </c>
      <c r="S70" s="125">
        <f t="shared" si="30"/>
        <v>558</v>
      </c>
      <c r="T70" s="125">
        <f>S70+100</f>
        <v>658</v>
      </c>
      <c r="AG70" s="140">
        <f t="shared" si="24"/>
        <v>79</v>
      </c>
      <c r="AH70" s="140">
        <f t="shared" si="25"/>
        <v>20</v>
      </c>
    </row>
    <row r="71" spans="1:34" s="134" customFormat="1" ht="24.95" customHeight="1">
      <c r="A71" s="120" t="s">
        <v>580</v>
      </c>
      <c r="B71" s="132" t="s">
        <v>145</v>
      </c>
      <c r="C71" s="120" t="s">
        <v>111</v>
      </c>
      <c r="D71" s="125">
        <v>124</v>
      </c>
      <c r="E71" s="125">
        <v>141</v>
      </c>
      <c r="F71" s="125">
        <v>158</v>
      </c>
      <c r="G71" s="125">
        <v>172</v>
      </c>
      <c r="H71" s="125">
        <v>193</v>
      </c>
      <c r="I71" s="125">
        <v>204</v>
      </c>
      <c r="J71" s="125">
        <v>216</v>
      </c>
      <c r="K71" s="125">
        <v>225</v>
      </c>
      <c r="L71" s="125">
        <v>232</v>
      </c>
      <c r="M71" s="125">
        <v>239</v>
      </c>
      <c r="N71" s="125">
        <v>239</v>
      </c>
      <c r="O71" s="125">
        <v>246</v>
      </c>
      <c r="P71" s="125">
        <v>245</v>
      </c>
      <c r="Q71" s="125">
        <v>251</v>
      </c>
      <c r="R71" s="125">
        <v>251</v>
      </c>
      <c r="S71" s="125">
        <v>251</v>
      </c>
      <c r="T71" s="125">
        <v>265</v>
      </c>
      <c r="AG71" s="140">
        <f t="shared" si="24"/>
        <v>11</v>
      </c>
      <c r="AH71" s="140">
        <f t="shared" si="25"/>
        <v>12</v>
      </c>
    </row>
    <row r="72" spans="1:34" s="134" customFormat="1" ht="24.95" customHeight="1">
      <c r="A72" s="120"/>
      <c r="B72" s="132" t="s">
        <v>647</v>
      </c>
      <c r="C72" s="120" t="s">
        <v>90</v>
      </c>
      <c r="D72" s="125">
        <v>24</v>
      </c>
      <c r="E72" s="125">
        <v>27</v>
      </c>
      <c r="F72" s="125">
        <v>33</v>
      </c>
      <c r="G72" s="125">
        <v>35</v>
      </c>
      <c r="H72" s="125">
        <v>37</v>
      </c>
      <c r="I72" s="125">
        <v>45</v>
      </c>
      <c r="J72" s="125">
        <f t="shared" ref="J72:S72" si="31">I72+5</f>
        <v>50</v>
      </c>
      <c r="K72" s="125">
        <f t="shared" si="31"/>
        <v>55</v>
      </c>
      <c r="L72" s="125">
        <f t="shared" si="31"/>
        <v>60</v>
      </c>
      <c r="M72" s="125">
        <f t="shared" si="31"/>
        <v>65</v>
      </c>
      <c r="N72" s="125">
        <f t="shared" si="31"/>
        <v>70</v>
      </c>
      <c r="O72" s="125">
        <f t="shared" si="31"/>
        <v>75</v>
      </c>
      <c r="P72" s="125">
        <f t="shared" si="31"/>
        <v>80</v>
      </c>
      <c r="Q72" s="125">
        <f t="shared" si="31"/>
        <v>85</v>
      </c>
      <c r="R72" s="125">
        <f t="shared" si="31"/>
        <v>90</v>
      </c>
      <c r="S72" s="125">
        <f t="shared" si="31"/>
        <v>95</v>
      </c>
      <c r="T72" s="125">
        <f>S72+25</f>
        <v>120</v>
      </c>
      <c r="AG72" s="140">
        <f t="shared" si="24"/>
        <v>8</v>
      </c>
      <c r="AH72" s="140">
        <f t="shared" si="25"/>
        <v>5</v>
      </c>
    </row>
    <row r="73" spans="1:34" s="134" customFormat="1" ht="24.95" customHeight="1">
      <c r="A73" s="120" t="s">
        <v>581</v>
      </c>
      <c r="B73" s="119" t="s">
        <v>230</v>
      </c>
      <c r="C73" s="120" t="s">
        <v>113</v>
      </c>
      <c r="D73" s="125">
        <v>681</v>
      </c>
      <c r="E73" s="125">
        <v>745</v>
      </c>
      <c r="F73" s="125">
        <v>770</v>
      </c>
      <c r="G73" s="125">
        <v>733</v>
      </c>
      <c r="H73" s="125">
        <v>765</v>
      </c>
      <c r="I73" s="125">
        <v>887</v>
      </c>
      <c r="J73" s="125">
        <f>I73+20</f>
        <v>907</v>
      </c>
      <c r="K73" s="125">
        <f>J73+20</f>
        <v>927</v>
      </c>
      <c r="L73" s="125">
        <f>K73+20</f>
        <v>947</v>
      </c>
      <c r="M73" s="125">
        <f>L73+20</f>
        <v>967</v>
      </c>
      <c r="N73" s="125">
        <f t="shared" ref="N73:S73" si="32">M73+30</f>
        <v>997</v>
      </c>
      <c r="O73" s="125">
        <f t="shared" si="32"/>
        <v>1027</v>
      </c>
      <c r="P73" s="125">
        <f t="shared" si="32"/>
        <v>1057</v>
      </c>
      <c r="Q73" s="125">
        <f t="shared" si="32"/>
        <v>1087</v>
      </c>
      <c r="R73" s="125">
        <f t="shared" si="32"/>
        <v>1117</v>
      </c>
      <c r="S73" s="125">
        <f t="shared" si="32"/>
        <v>1147</v>
      </c>
      <c r="T73" s="125">
        <v>1250</v>
      </c>
      <c r="AG73" s="140">
        <f t="shared" si="24"/>
        <v>122</v>
      </c>
      <c r="AH73" s="140">
        <f t="shared" si="25"/>
        <v>20</v>
      </c>
    </row>
    <row r="74" spans="1:34" s="134" customFormat="1" ht="24.95" customHeight="1">
      <c r="A74" s="120"/>
      <c r="B74" s="132" t="s">
        <v>231</v>
      </c>
      <c r="C74" s="120" t="s">
        <v>90</v>
      </c>
      <c r="D74" s="125">
        <v>396</v>
      </c>
      <c r="E74" s="125">
        <v>456</v>
      </c>
      <c r="F74" s="125">
        <v>502</v>
      </c>
      <c r="G74" s="125">
        <v>498</v>
      </c>
      <c r="H74" s="125">
        <v>566</v>
      </c>
      <c r="I74" s="125">
        <v>615</v>
      </c>
      <c r="J74" s="125">
        <v>625</v>
      </c>
      <c r="K74" s="125">
        <v>635</v>
      </c>
      <c r="L74" s="125">
        <v>645</v>
      </c>
      <c r="M74" s="125">
        <v>655</v>
      </c>
      <c r="N74" s="125">
        <v>665</v>
      </c>
      <c r="O74" s="125">
        <v>675</v>
      </c>
      <c r="P74" s="125">
        <v>685</v>
      </c>
      <c r="Q74" s="125">
        <v>695</v>
      </c>
      <c r="R74" s="125">
        <v>705</v>
      </c>
      <c r="S74" s="125">
        <v>715</v>
      </c>
      <c r="T74" s="125">
        <f>S74+50</f>
        <v>765</v>
      </c>
      <c r="AG74" s="140">
        <f t="shared" si="24"/>
        <v>49</v>
      </c>
      <c r="AH74" s="140">
        <f t="shared" si="25"/>
        <v>10</v>
      </c>
    </row>
    <row r="75" spans="1:34" s="134" customFormat="1" ht="24.95" customHeight="1">
      <c r="A75" s="120" t="s">
        <v>582</v>
      </c>
      <c r="B75" s="119" t="s">
        <v>646</v>
      </c>
      <c r="C75" s="120" t="s">
        <v>114</v>
      </c>
      <c r="D75" s="125">
        <v>502</v>
      </c>
      <c r="E75" s="125">
        <v>513</v>
      </c>
      <c r="F75" s="125">
        <v>532</v>
      </c>
      <c r="G75" s="125">
        <v>539</v>
      </c>
      <c r="H75" s="125">
        <v>554</v>
      </c>
      <c r="I75" s="125">
        <v>567</v>
      </c>
      <c r="J75" s="125">
        <f>I75+20</f>
        <v>587</v>
      </c>
      <c r="K75" s="125">
        <f>J75+15</f>
        <v>602</v>
      </c>
      <c r="L75" s="125">
        <f>K75+15</f>
        <v>617</v>
      </c>
      <c r="M75" s="125">
        <f>L75+15</f>
        <v>632</v>
      </c>
      <c r="N75" s="125">
        <f>M75+20</f>
        <v>652</v>
      </c>
      <c r="O75" s="125">
        <f>N75+25</f>
        <v>677</v>
      </c>
      <c r="P75" s="125">
        <f>O75+25</f>
        <v>702</v>
      </c>
      <c r="Q75" s="125">
        <f>P75+30</f>
        <v>732</v>
      </c>
      <c r="R75" s="125">
        <f>Q75+30</f>
        <v>762</v>
      </c>
      <c r="S75" s="125">
        <f>R75+30</f>
        <v>792</v>
      </c>
      <c r="T75" s="125">
        <f>S75+100</f>
        <v>892</v>
      </c>
      <c r="AG75" s="140">
        <f t="shared" si="24"/>
        <v>13</v>
      </c>
      <c r="AH75" s="140">
        <f t="shared" si="25"/>
        <v>20</v>
      </c>
    </row>
    <row r="76" spans="1:34" s="134" customFormat="1" ht="24.95" customHeight="1">
      <c r="A76" s="113"/>
      <c r="B76" s="132" t="s">
        <v>648</v>
      </c>
      <c r="C76" s="120" t="s">
        <v>90</v>
      </c>
      <c r="D76" s="125">
        <v>137</v>
      </c>
      <c r="E76" s="125">
        <v>143</v>
      </c>
      <c r="F76" s="125">
        <v>153</v>
      </c>
      <c r="G76" s="125">
        <v>173</v>
      </c>
      <c r="H76" s="125">
        <v>175</v>
      </c>
      <c r="I76" s="125">
        <v>175</v>
      </c>
      <c r="J76" s="125">
        <f t="shared" ref="J76:T76" si="33">J4</f>
        <v>180</v>
      </c>
      <c r="K76" s="125">
        <f t="shared" si="33"/>
        <v>183</v>
      </c>
      <c r="L76" s="125">
        <f t="shared" si="33"/>
        <v>184</v>
      </c>
      <c r="M76" s="125">
        <f t="shared" si="33"/>
        <v>186</v>
      </c>
      <c r="N76" s="125">
        <f t="shared" si="33"/>
        <v>188</v>
      </c>
      <c r="O76" s="125">
        <f t="shared" si="33"/>
        <v>189</v>
      </c>
      <c r="P76" s="125">
        <f t="shared" si="33"/>
        <v>189</v>
      </c>
      <c r="Q76" s="125">
        <f t="shared" si="33"/>
        <v>190</v>
      </c>
      <c r="R76" s="125">
        <f t="shared" si="33"/>
        <v>190</v>
      </c>
      <c r="S76" s="125">
        <f t="shared" si="33"/>
        <v>190</v>
      </c>
      <c r="T76" s="125">
        <f t="shared" si="33"/>
        <v>202</v>
      </c>
      <c r="AG76" s="140">
        <f t="shared" si="24"/>
        <v>0</v>
      </c>
      <c r="AH76" s="140">
        <f t="shared" si="25"/>
        <v>5</v>
      </c>
    </row>
    <row r="77" spans="1:34" s="134" customFormat="1" ht="24.95" customHeight="1">
      <c r="A77" s="113"/>
      <c r="B77" s="132" t="s">
        <v>232</v>
      </c>
      <c r="C77" s="120" t="s">
        <v>90</v>
      </c>
      <c r="D77" s="125">
        <v>230</v>
      </c>
      <c r="E77" s="125">
        <v>253</v>
      </c>
      <c r="F77" s="125">
        <v>271</v>
      </c>
      <c r="G77" s="125">
        <v>292</v>
      </c>
      <c r="H77" s="125">
        <v>334</v>
      </c>
      <c r="I77" s="125">
        <v>361</v>
      </c>
      <c r="J77" s="125">
        <f>I77+20</f>
        <v>381</v>
      </c>
      <c r="K77" s="125">
        <f>J77+10</f>
        <v>391</v>
      </c>
      <c r="L77" s="125">
        <f>K77+70</f>
        <v>461</v>
      </c>
      <c r="M77" s="125">
        <f>L77+70</f>
        <v>531</v>
      </c>
      <c r="N77" s="125">
        <f>M77+70</f>
        <v>601</v>
      </c>
      <c r="O77" s="125">
        <f>N77+20</f>
        <v>621</v>
      </c>
      <c r="P77" s="125">
        <f>O77+20</f>
        <v>641</v>
      </c>
      <c r="Q77" s="125">
        <f>P77+20</f>
        <v>661</v>
      </c>
      <c r="R77" s="125">
        <f>Q77+20</f>
        <v>681</v>
      </c>
      <c r="S77" s="125">
        <f>S8</f>
        <v>820</v>
      </c>
      <c r="T77" s="125">
        <f>T8</f>
        <v>825</v>
      </c>
      <c r="AG77" s="140">
        <f t="shared" si="24"/>
        <v>27</v>
      </c>
      <c r="AH77" s="140">
        <f t="shared" si="25"/>
        <v>20</v>
      </c>
    </row>
    <row r="78" spans="1:34" s="143" customFormat="1" ht="24.95" customHeight="1">
      <c r="A78" s="113">
        <v>8</v>
      </c>
      <c r="B78" s="126" t="s">
        <v>132</v>
      </c>
      <c r="C78" s="141" t="s">
        <v>116</v>
      </c>
      <c r="D78" s="142">
        <f t="shared" ref="D78:T78" si="34">D79+D80</f>
        <v>456437</v>
      </c>
      <c r="E78" s="142">
        <f t="shared" si="34"/>
        <v>614739</v>
      </c>
      <c r="F78" s="142">
        <f t="shared" si="34"/>
        <v>690754</v>
      </c>
      <c r="G78" s="142">
        <f t="shared" si="34"/>
        <v>817182</v>
      </c>
      <c r="H78" s="142">
        <f t="shared" si="34"/>
        <v>650459</v>
      </c>
      <c r="I78" s="142">
        <f t="shared" si="34"/>
        <v>760812</v>
      </c>
      <c r="J78" s="142">
        <f t="shared" si="34"/>
        <v>773019</v>
      </c>
      <c r="K78" s="142">
        <f t="shared" si="34"/>
        <v>781489</v>
      </c>
      <c r="L78" s="142">
        <f t="shared" si="34"/>
        <v>794097</v>
      </c>
      <c r="M78" s="142">
        <f t="shared" si="34"/>
        <v>805888</v>
      </c>
      <c r="N78" s="142">
        <f t="shared" si="34"/>
        <v>814812</v>
      </c>
      <c r="O78" s="142">
        <f t="shared" si="34"/>
        <v>863451</v>
      </c>
      <c r="P78" s="142">
        <f t="shared" si="34"/>
        <v>870241</v>
      </c>
      <c r="Q78" s="142">
        <f t="shared" si="34"/>
        <v>876808</v>
      </c>
      <c r="R78" s="142">
        <f t="shared" si="34"/>
        <v>883265</v>
      </c>
      <c r="S78" s="142">
        <f t="shared" si="34"/>
        <v>891392</v>
      </c>
      <c r="T78" s="142">
        <f t="shared" si="34"/>
        <v>1084568</v>
      </c>
    </row>
    <row r="79" spans="1:34" s="145" customFormat="1" ht="24.95" customHeight="1">
      <c r="A79" s="113"/>
      <c r="B79" s="132" t="s">
        <v>62</v>
      </c>
      <c r="C79" s="144" t="s">
        <v>90</v>
      </c>
      <c r="D79" s="142">
        <v>415532</v>
      </c>
      <c r="E79" s="142">
        <v>563411</v>
      </c>
      <c r="F79" s="142">
        <v>641152</v>
      </c>
      <c r="G79" s="142">
        <v>793101</v>
      </c>
      <c r="H79" s="142">
        <v>622397</v>
      </c>
      <c r="I79" s="142">
        <v>725405</v>
      </c>
      <c r="J79" s="142">
        <v>737519</v>
      </c>
      <c r="K79" s="142">
        <v>745489</v>
      </c>
      <c r="L79" s="142">
        <v>754097</v>
      </c>
      <c r="M79" s="142">
        <v>764638</v>
      </c>
      <c r="N79" s="142">
        <v>771062</v>
      </c>
      <c r="O79" s="142">
        <v>817201</v>
      </c>
      <c r="P79" s="142">
        <v>822491</v>
      </c>
      <c r="Q79" s="142">
        <v>826558</v>
      </c>
      <c r="R79" s="142">
        <v>831515</v>
      </c>
      <c r="S79" s="142">
        <v>835642</v>
      </c>
      <c r="T79" s="142">
        <v>912068</v>
      </c>
      <c r="U79" s="145" t="s">
        <v>168</v>
      </c>
    </row>
    <row r="80" spans="1:34" s="122" customFormat="1" ht="24.95" customHeight="1">
      <c r="A80" s="113"/>
      <c r="B80" s="271" t="s">
        <v>61</v>
      </c>
      <c r="C80" s="146" t="s">
        <v>90</v>
      </c>
      <c r="D80" s="142">
        <v>40905</v>
      </c>
      <c r="E80" s="142">
        <v>51328</v>
      </c>
      <c r="F80" s="142">
        <v>49602</v>
      </c>
      <c r="G80" s="142">
        <v>24081</v>
      </c>
      <c r="H80" s="142">
        <v>28062</v>
      </c>
      <c r="I80" s="142">
        <v>35407</v>
      </c>
      <c r="J80" s="142">
        <f t="shared" ref="J80:T80" si="35">400*(J62-I62)+600*(J65-I65)+300*(J68-I68)+250*(J70-I70)+500*(J72-I72)+300*(J74-I74)+500*(J75-I75)</f>
        <v>35500</v>
      </c>
      <c r="K80" s="142">
        <f t="shared" si="35"/>
        <v>36000</v>
      </c>
      <c r="L80" s="142">
        <f t="shared" si="35"/>
        <v>40000</v>
      </c>
      <c r="M80" s="142">
        <f t="shared" si="35"/>
        <v>41250</v>
      </c>
      <c r="N80" s="142">
        <f t="shared" si="35"/>
        <v>43750</v>
      </c>
      <c r="O80" s="142">
        <f t="shared" si="35"/>
        <v>46250</v>
      </c>
      <c r="P80" s="142">
        <f t="shared" si="35"/>
        <v>47750</v>
      </c>
      <c r="Q80" s="142">
        <f t="shared" si="35"/>
        <v>50250</v>
      </c>
      <c r="R80" s="142">
        <f t="shared" si="35"/>
        <v>51750</v>
      </c>
      <c r="S80" s="142">
        <f t="shared" si="35"/>
        <v>55750</v>
      </c>
      <c r="T80" s="142">
        <f t="shared" si="35"/>
        <v>172500</v>
      </c>
    </row>
    <row r="81" spans="1:20" s="118" customFormat="1" ht="24.95" customHeight="1">
      <c r="A81" s="113">
        <v>9</v>
      </c>
      <c r="B81" s="126" t="s">
        <v>233</v>
      </c>
      <c r="C81" s="121"/>
      <c r="D81" s="125"/>
      <c r="E81" s="125"/>
      <c r="F81" s="125"/>
      <c r="G81" s="125"/>
      <c r="H81" s="125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</row>
    <row r="82" spans="1:20" s="118" customFormat="1" ht="24.95" customHeight="1">
      <c r="A82" s="120" t="s">
        <v>649</v>
      </c>
      <c r="B82" s="132" t="s">
        <v>234</v>
      </c>
      <c r="C82" s="121" t="s">
        <v>118</v>
      </c>
      <c r="D82" s="125">
        <v>112</v>
      </c>
      <c r="E82" s="125">
        <v>112</v>
      </c>
      <c r="F82" s="125">
        <v>130</v>
      </c>
      <c r="G82" s="125">
        <v>130</v>
      </c>
      <c r="H82" s="125">
        <v>130</v>
      </c>
      <c r="I82" s="125">
        <v>130</v>
      </c>
      <c r="J82" s="125">
        <v>130</v>
      </c>
      <c r="K82" s="125">
        <v>130</v>
      </c>
      <c r="L82" s="125">
        <v>130</v>
      </c>
      <c r="M82" s="125">
        <v>130</v>
      </c>
      <c r="N82" s="125">
        <v>130</v>
      </c>
      <c r="O82" s="125">
        <v>130</v>
      </c>
      <c r="P82" s="125">
        <v>130</v>
      </c>
      <c r="Q82" s="125">
        <v>130</v>
      </c>
      <c r="R82" s="125">
        <v>130</v>
      </c>
      <c r="S82" s="125">
        <v>130</v>
      </c>
      <c r="T82" s="125">
        <v>130</v>
      </c>
    </row>
    <row r="83" spans="1:20" s="118" customFormat="1" ht="24.95" customHeight="1">
      <c r="A83" s="120" t="s">
        <v>650</v>
      </c>
      <c r="B83" s="132" t="s">
        <v>235</v>
      </c>
      <c r="C83" s="121" t="s">
        <v>90</v>
      </c>
      <c r="D83" s="125">
        <v>31</v>
      </c>
      <c r="E83" s="125">
        <v>55</v>
      </c>
      <c r="F83" s="125">
        <v>75</v>
      </c>
      <c r="G83" s="125">
        <v>94</v>
      </c>
      <c r="H83" s="125">
        <v>110</v>
      </c>
      <c r="I83" s="125">
        <v>125</v>
      </c>
      <c r="J83" s="125">
        <v>130</v>
      </c>
      <c r="K83" s="125">
        <v>130</v>
      </c>
      <c r="L83" s="125">
        <v>130</v>
      </c>
      <c r="M83" s="125">
        <v>130</v>
      </c>
      <c r="N83" s="125">
        <v>130</v>
      </c>
      <c r="O83" s="125">
        <v>130</v>
      </c>
      <c r="P83" s="125">
        <v>130</v>
      </c>
      <c r="Q83" s="125">
        <v>130</v>
      </c>
      <c r="R83" s="125">
        <v>130</v>
      </c>
      <c r="S83" s="125">
        <v>130</v>
      </c>
      <c r="T83" s="125">
        <v>130</v>
      </c>
    </row>
    <row r="84" spans="1:20" s="122" customFormat="1" ht="24.95" customHeight="1">
      <c r="A84" s="120" t="s">
        <v>651</v>
      </c>
      <c r="B84" s="132" t="s">
        <v>236</v>
      </c>
      <c r="C84" s="121" t="s">
        <v>90</v>
      </c>
      <c r="D84" s="125"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16</v>
      </c>
      <c r="J84" s="125">
        <v>35</v>
      </c>
      <c r="K84" s="125">
        <v>45</v>
      </c>
      <c r="L84" s="125">
        <v>60</v>
      </c>
      <c r="M84" s="125">
        <v>75</v>
      </c>
      <c r="N84" s="125">
        <v>85</v>
      </c>
      <c r="O84" s="125">
        <v>97</v>
      </c>
      <c r="P84" s="125">
        <v>104</v>
      </c>
      <c r="Q84" s="125">
        <v>110</v>
      </c>
      <c r="R84" s="125">
        <v>117</v>
      </c>
      <c r="S84" s="125">
        <v>130</v>
      </c>
      <c r="T84" s="125">
        <v>130</v>
      </c>
    </row>
    <row r="85" spans="1:20" s="122" customFormat="1" ht="24.95" customHeight="1">
      <c r="A85" s="113">
        <v>10</v>
      </c>
      <c r="B85" s="126" t="s">
        <v>237</v>
      </c>
      <c r="C85" s="121"/>
      <c r="D85" s="125"/>
      <c r="E85" s="125"/>
      <c r="F85" s="125"/>
      <c r="G85" s="125"/>
      <c r="H85" s="125"/>
      <c r="I85" s="125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</row>
    <row r="86" spans="1:20" s="122" customFormat="1" ht="24.95" customHeight="1">
      <c r="A86" s="120" t="s">
        <v>652</v>
      </c>
      <c r="B86" s="132" t="s">
        <v>238</v>
      </c>
      <c r="C86" s="121" t="s">
        <v>118</v>
      </c>
      <c r="D86" s="125"/>
      <c r="E86" s="125"/>
      <c r="F86" s="125"/>
      <c r="G86" s="125"/>
      <c r="H86" s="125"/>
      <c r="I86" s="125">
        <v>130</v>
      </c>
      <c r="J86" s="125">
        <v>130</v>
      </c>
      <c r="K86" s="125">
        <v>130</v>
      </c>
      <c r="L86" s="125">
        <v>130</v>
      </c>
      <c r="M86" s="125">
        <v>130</v>
      </c>
      <c r="N86" s="125">
        <v>130</v>
      </c>
      <c r="O86" s="125">
        <v>130</v>
      </c>
      <c r="P86" s="125">
        <v>130</v>
      </c>
      <c r="Q86" s="125">
        <v>130</v>
      </c>
      <c r="R86" s="125">
        <v>130</v>
      </c>
      <c r="S86" s="125">
        <v>130</v>
      </c>
      <c r="T86" s="125">
        <v>130</v>
      </c>
    </row>
    <row r="87" spans="1:20" s="122" customFormat="1" ht="24.95" customHeight="1">
      <c r="A87" s="120" t="s">
        <v>653</v>
      </c>
      <c r="B87" s="132" t="s">
        <v>239</v>
      </c>
      <c r="C87" s="116" t="s">
        <v>90</v>
      </c>
      <c r="D87" s="125"/>
      <c r="E87" s="125"/>
      <c r="F87" s="125"/>
      <c r="G87" s="125"/>
      <c r="H87" s="125"/>
      <c r="I87" s="125">
        <v>30</v>
      </c>
      <c r="J87" s="125">
        <v>45</v>
      </c>
      <c r="K87" s="125">
        <v>60</v>
      </c>
      <c r="L87" s="125">
        <v>83</v>
      </c>
      <c r="M87" s="125">
        <v>106</v>
      </c>
      <c r="N87" s="125">
        <v>130</v>
      </c>
      <c r="O87" s="125">
        <v>130</v>
      </c>
      <c r="P87" s="125">
        <v>130</v>
      </c>
      <c r="Q87" s="125">
        <v>130</v>
      </c>
      <c r="R87" s="125">
        <v>130</v>
      </c>
      <c r="S87" s="125">
        <v>130</v>
      </c>
      <c r="T87" s="125">
        <v>130</v>
      </c>
    </row>
    <row r="88" spans="1:20" ht="18" hidden="1" customHeight="1"/>
    <row r="89" spans="1:20" ht="18" hidden="1" customHeight="1">
      <c r="J89" s="110">
        <f t="shared" ref="J89:T89" si="36">J4+J8</f>
        <v>986</v>
      </c>
      <c r="K89" s="110">
        <f t="shared" si="36"/>
        <v>989</v>
      </c>
      <c r="L89" s="110">
        <f t="shared" si="36"/>
        <v>992</v>
      </c>
      <c r="M89" s="110">
        <f t="shared" si="36"/>
        <v>994</v>
      </c>
      <c r="N89" s="110">
        <f t="shared" si="36"/>
        <v>998</v>
      </c>
      <c r="O89" s="110">
        <f t="shared" si="36"/>
        <v>1001</v>
      </c>
      <c r="P89" s="110">
        <f t="shared" si="36"/>
        <v>1003</v>
      </c>
      <c r="Q89" s="110">
        <f t="shared" si="36"/>
        <v>1006</v>
      </c>
      <c r="R89" s="110">
        <f t="shared" si="36"/>
        <v>1008</v>
      </c>
      <c r="S89" s="110">
        <f t="shared" si="36"/>
        <v>1010</v>
      </c>
      <c r="T89" s="110">
        <f t="shared" si="36"/>
        <v>1027</v>
      </c>
    </row>
    <row r="90" spans="1:20" ht="18" hidden="1" customHeight="1">
      <c r="J90" s="110">
        <f t="shared" ref="J90:T90" si="37">J89-J73</f>
        <v>79</v>
      </c>
      <c r="K90" s="110">
        <f t="shared" si="37"/>
        <v>62</v>
      </c>
      <c r="L90" s="110">
        <f t="shared" si="37"/>
        <v>45</v>
      </c>
      <c r="M90" s="110">
        <f t="shared" si="37"/>
        <v>27</v>
      </c>
      <c r="N90" s="110">
        <f t="shared" si="37"/>
        <v>1</v>
      </c>
      <c r="O90" s="110">
        <f t="shared" si="37"/>
        <v>-26</v>
      </c>
      <c r="P90" s="110">
        <f t="shared" si="37"/>
        <v>-54</v>
      </c>
      <c r="Q90" s="110">
        <f t="shared" si="37"/>
        <v>-81</v>
      </c>
      <c r="R90" s="110">
        <f t="shared" si="37"/>
        <v>-109</v>
      </c>
      <c r="S90" s="110">
        <f t="shared" si="37"/>
        <v>-137</v>
      </c>
      <c r="T90" s="110">
        <f t="shared" si="37"/>
        <v>-223</v>
      </c>
    </row>
    <row r="91" spans="1:20" ht="18" hidden="1" customHeight="1">
      <c r="N91" s="110"/>
    </row>
    <row r="92" spans="1:20" ht="18" hidden="1" customHeight="1">
      <c r="B92" s="111" t="s">
        <v>106</v>
      </c>
      <c r="J92" s="110">
        <f t="shared" ref="J92:T92" si="38">J62-I62</f>
        <v>30</v>
      </c>
      <c r="K92" s="110">
        <f t="shared" si="38"/>
        <v>30</v>
      </c>
      <c r="L92" s="110">
        <f t="shared" si="38"/>
        <v>40</v>
      </c>
      <c r="M92" s="110">
        <f t="shared" si="38"/>
        <v>40</v>
      </c>
      <c r="N92" s="110">
        <f t="shared" si="38"/>
        <v>40</v>
      </c>
      <c r="O92" s="110">
        <f t="shared" si="38"/>
        <v>40</v>
      </c>
      <c r="P92" s="110">
        <f t="shared" si="38"/>
        <v>40</v>
      </c>
      <c r="Q92" s="110">
        <f t="shared" si="38"/>
        <v>40</v>
      </c>
      <c r="R92" s="110">
        <f t="shared" si="38"/>
        <v>40</v>
      </c>
      <c r="S92" s="110">
        <f t="shared" si="38"/>
        <v>50</v>
      </c>
      <c r="T92" s="110">
        <f t="shared" si="38"/>
        <v>100</v>
      </c>
    </row>
    <row r="93" spans="1:20" ht="18" hidden="1" customHeight="1">
      <c r="B93" s="111" t="s">
        <v>170</v>
      </c>
      <c r="J93" s="110">
        <f t="shared" ref="J93:T93" si="39">J65-I65</f>
        <v>0</v>
      </c>
      <c r="K93" s="110">
        <f t="shared" si="39"/>
        <v>5</v>
      </c>
      <c r="L93" s="110">
        <f t="shared" si="39"/>
        <v>5</v>
      </c>
      <c r="M93" s="110">
        <f t="shared" si="39"/>
        <v>5</v>
      </c>
      <c r="N93" s="110">
        <f t="shared" si="39"/>
        <v>5</v>
      </c>
      <c r="O93" s="110">
        <f t="shared" si="39"/>
        <v>5</v>
      </c>
      <c r="P93" s="110">
        <f t="shared" si="39"/>
        <v>5</v>
      </c>
      <c r="Q93" s="110">
        <f t="shared" si="39"/>
        <v>5</v>
      </c>
      <c r="R93" s="110">
        <f t="shared" si="39"/>
        <v>5</v>
      </c>
      <c r="S93" s="110">
        <f t="shared" si="39"/>
        <v>5</v>
      </c>
      <c r="T93" s="110">
        <f t="shared" si="39"/>
        <v>25</v>
      </c>
    </row>
    <row r="94" spans="1:20" ht="18" hidden="1" customHeight="1">
      <c r="B94" s="111" t="s">
        <v>171</v>
      </c>
      <c r="J94" s="110">
        <f t="shared" ref="J94:T94" si="40">J68-I68</f>
        <v>10</v>
      </c>
      <c r="K94" s="110">
        <f t="shared" si="40"/>
        <v>10</v>
      </c>
      <c r="L94" s="110">
        <f t="shared" si="40"/>
        <v>10</v>
      </c>
      <c r="M94" s="110">
        <f t="shared" si="40"/>
        <v>10</v>
      </c>
      <c r="N94" s="110">
        <f t="shared" si="40"/>
        <v>10</v>
      </c>
      <c r="O94" s="110">
        <f t="shared" si="40"/>
        <v>10</v>
      </c>
      <c r="P94" s="110">
        <f t="shared" si="40"/>
        <v>15</v>
      </c>
      <c r="Q94" s="110">
        <f t="shared" si="40"/>
        <v>15</v>
      </c>
      <c r="R94" s="110">
        <f t="shared" si="40"/>
        <v>20</v>
      </c>
      <c r="S94" s="110">
        <f t="shared" si="40"/>
        <v>20</v>
      </c>
      <c r="T94" s="110">
        <f t="shared" si="40"/>
        <v>50</v>
      </c>
    </row>
    <row r="95" spans="1:20" ht="18" hidden="1" customHeight="1">
      <c r="B95" s="111" t="s">
        <v>172</v>
      </c>
      <c r="J95" s="110">
        <f t="shared" ref="J95:T95" si="41">J70-I70</f>
        <v>20</v>
      </c>
      <c r="K95" s="110">
        <f t="shared" si="41"/>
        <v>20</v>
      </c>
      <c r="L95" s="110">
        <f t="shared" si="41"/>
        <v>20</v>
      </c>
      <c r="M95" s="110">
        <f t="shared" si="41"/>
        <v>25</v>
      </c>
      <c r="N95" s="110">
        <f t="shared" si="41"/>
        <v>25</v>
      </c>
      <c r="O95" s="110">
        <f t="shared" si="41"/>
        <v>25</v>
      </c>
      <c r="P95" s="110">
        <f t="shared" si="41"/>
        <v>25</v>
      </c>
      <c r="Q95" s="110">
        <f t="shared" si="41"/>
        <v>25</v>
      </c>
      <c r="R95" s="110">
        <f t="shared" si="41"/>
        <v>25</v>
      </c>
      <c r="S95" s="110">
        <f t="shared" si="41"/>
        <v>25</v>
      </c>
      <c r="T95" s="110">
        <f t="shared" si="41"/>
        <v>100</v>
      </c>
    </row>
    <row r="96" spans="1:20" ht="18" hidden="1" customHeight="1">
      <c r="B96" s="111" t="s">
        <v>111</v>
      </c>
      <c r="G96" s="112"/>
      <c r="H96" s="112"/>
      <c r="J96" s="110">
        <f t="shared" ref="J96:T96" si="42">J72-I72</f>
        <v>5</v>
      </c>
      <c r="K96" s="110">
        <f t="shared" si="42"/>
        <v>5</v>
      </c>
      <c r="L96" s="110">
        <f t="shared" si="42"/>
        <v>5</v>
      </c>
      <c r="M96" s="110">
        <f t="shared" si="42"/>
        <v>5</v>
      </c>
      <c r="N96" s="110">
        <f t="shared" si="42"/>
        <v>5</v>
      </c>
      <c r="O96" s="110">
        <f t="shared" si="42"/>
        <v>5</v>
      </c>
      <c r="P96" s="110">
        <f t="shared" si="42"/>
        <v>5</v>
      </c>
      <c r="Q96" s="110">
        <f t="shared" si="42"/>
        <v>5</v>
      </c>
      <c r="R96" s="110">
        <f t="shared" si="42"/>
        <v>5</v>
      </c>
      <c r="S96" s="110">
        <f t="shared" si="42"/>
        <v>5</v>
      </c>
      <c r="T96" s="110">
        <f t="shared" si="42"/>
        <v>25</v>
      </c>
    </row>
    <row r="97" spans="1:20" ht="18" hidden="1" customHeight="1">
      <c r="B97" s="111" t="s">
        <v>173</v>
      </c>
      <c r="G97" s="112"/>
      <c r="H97" s="112"/>
      <c r="J97" s="110">
        <f t="shared" ref="J97:T97" si="43">J74-I74</f>
        <v>10</v>
      </c>
      <c r="K97" s="110">
        <f t="shared" si="43"/>
        <v>10</v>
      </c>
      <c r="L97" s="110">
        <f t="shared" si="43"/>
        <v>10</v>
      </c>
      <c r="M97" s="110">
        <f t="shared" si="43"/>
        <v>10</v>
      </c>
      <c r="N97" s="110">
        <f t="shared" si="43"/>
        <v>10</v>
      </c>
      <c r="O97" s="110">
        <f t="shared" si="43"/>
        <v>10</v>
      </c>
      <c r="P97" s="110">
        <f t="shared" si="43"/>
        <v>10</v>
      </c>
      <c r="Q97" s="110">
        <f t="shared" si="43"/>
        <v>10</v>
      </c>
      <c r="R97" s="110">
        <f t="shared" si="43"/>
        <v>10</v>
      </c>
      <c r="S97" s="110">
        <f t="shared" si="43"/>
        <v>10</v>
      </c>
      <c r="T97" s="110">
        <f t="shared" si="43"/>
        <v>50</v>
      </c>
    </row>
    <row r="98" spans="1:20" ht="18" hidden="1" customHeight="1">
      <c r="B98" s="111" t="s">
        <v>174</v>
      </c>
      <c r="G98" s="112"/>
      <c r="H98" s="112"/>
      <c r="J98" s="110">
        <f t="shared" ref="J98:T98" si="44">J75-I75</f>
        <v>20</v>
      </c>
      <c r="K98" s="110">
        <f t="shared" si="44"/>
        <v>15</v>
      </c>
      <c r="L98" s="110">
        <f t="shared" si="44"/>
        <v>15</v>
      </c>
      <c r="M98" s="110">
        <f t="shared" si="44"/>
        <v>15</v>
      </c>
      <c r="N98" s="110">
        <f t="shared" si="44"/>
        <v>20</v>
      </c>
      <c r="O98" s="110">
        <f t="shared" si="44"/>
        <v>25</v>
      </c>
      <c r="P98" s="110">
        <f t="shared" si="44"/>
        <v>25</v>
      </c>
      <c r="Q98" s="110">
        <f t="shared" si="44"/>
        <v>30</v>
      </c>
      <c r="R98" s="110">
        <f t="shared" si="44"/>
        <v>30</v>
      </c>
      <c r="S98" s="110">
        <f t="shared" si="44"/>
        <v>30</v>
      </c>
      <c r="T98" s="110">
        <f t="shared" si="44"/>
        <v>100</v>
      </c>
    </row>
    <row r="99" spans="1:20" ht="18" hidden="1" customHeight="1">
      <c r="G99" s="112"/>
      <c r="H99" s="112"/>
    </row>
    <row r="100" spans="1:20" ht="18" hidden="1" customHeight="1">
      <c r="G100" s="112"/>
      <c r="H100" s="112"/>
    </row>
    <row r="101" spans="1:20" ht="18" hidden="1" customHeight="1">
      <c r="G101" s="112"/>
      <c r="H101" s="112"/>
    </row>
    <row r="102" spans="1:20" ht="18" customHeight="1">
      <c r="G102" s="112"/>
      <c r="H102" s="112"/>
    </row>
    <row r="103" spans="1:20" ht="18" customHeight="1">
      <c r="A103" s="120" t="s">
        <v>576</v>
      </c>
      <c r="B103" s="119" t="s">
        <v>106</v>
      </c>
      <c r="J103" s="110">
        <f t="shared" ref="J103:S103" si="45">J62-I62</f>
        <v>30</v>
      </c>
      <c r="K103" s="110">
        <f t="shared" si="45"/>
        <v>30</v>
      </c>
      <c r="L103" s="110">
        <f t="shared" si="45"/>
        <v>40</v>
      </c>
      <c r="M103" s="110">
        <f t="shared" si="45"/>
        <v>40</v>
      </c>
      <c r="N103" s="110">
        <f t="shared" si="45"/>
        <v>40</v>
      </c>
      <c r="O103" s="110">
        <f t="shared" si="45"/>
        <v>40</v>
      </c>
      <c r="P103" s="110">
        <f t="shared" si="45"/>
        <v>40</v>
      </c>
      <c r="Q103" s="110">
        <f t="shared" si="45"/>
        <v>40</v>
      </c>
      <c r="R103" s="110">
        <f t="shared" si="45"/>
        <v>40</v>
      </c>
      <c r="S103" s="110">
        <f t="shared" si="45"/>
        <v>50</v>
      </c>
      <c r="T103" s="110">
        <f>T62-S62</f>
        <v>100</v>
      </c>
    </row>
    <row r="104" spans="1:20" ht="18" customHeight="1">
      <c r="A104" s="120" t="s">
        <v>577</v>
      </c>
      <c r="B104" s="108" t="s">
        <v>228</v>
      </c>
      <c r="J104" s="110">
        <f>J65-I65</f>
        <v>0</v>
      </c>
      <c r="K104" s="110">
        <f t="shared" ref="K104:S104" si="46">K65-J65</f>
        <v>5</v>
      </c>
      <c r="L104" s="110">
        <f t="shared" si="46"/>
        <v>5</v>
      </c>
      <c r="M104" s="110">
        <f t="shared" si="46"/>
        <v>5</v>
      </c>
      <c r="N104" s="110">
        <f t="shared" si="46"/>
        <v>5</v>
      </c>
      <c r="O104" s="110">
        <f t="shared" si="46"/>
        <v>5</v>
      </c>
      <c r="P104" s="110">
        <f t="shared" si="46"/>
        <v>5</v>
      </c>
      <c r="Q104" s="110">
        <f t="shared" si="46"/>
        <v>5</v>
      </c>
      <c r="R104" s="110">
        <f t="shared" si="46"/>
        <v>5</v>
      </c>
      <c r="S104" s="110">
        <f t="shared" si="46"/>
        <v>5</v>
      </c>
      <c r="T104" s="110">
        <f>T65-S65</f>
        <v>25</v>
      </c>
    </row>
    <row r="105" spans="1:20" ht="18" customHeight="1">
      <c r="A105" s="120" t="s">
        <v>578</v>
      </c>
      <c r="B105" s="132" t="s">
        <v>112</v>
      </c>
      <c r="J105" s="110">
        <f t="shared" ref="J105:S105" si="47">J68-I68</f>
        <v>10</v>
      </c>
      <c r="K105" s="110">
        <f t="shared" si="47"/>
        <v>10</v>
      </c>
      <c r="L105" s="110">
        <f t="shared" si="47"/>
        <v>10</v>
      </c>
      <c r="M105" s="110">
        <f t="shared" si="47"/>
        <v>10</v>
      </c>
      <c r="N105" s="110">
        <f t="shared" si="47"/>
        <v>10</v>
      </c>
      <c r="O105" s="110">
        <f t="shared" si="47"/>
        <v>10</v>
      </c>
      <c r="P105" s="110">
        <f t="shared" si="47"/>
        <v>15</v>
      </c>
      <c r="Q105" s="110">
        <f t="shared" si="47"/>
        <v>15</v>
      </c>
      <c r="R105" s="110">
        <f t="shared" si="47"/>
        <v>20</v>
      </c>
      <c r="S105" s="110">
        <f t="shared" si="47"/>
        <v>20</v>
      </c>
      <c r="T105" s="110">
        <f>T68-S68</f>
        <v>50</v>
      </c>
    </row>
    <row r="106" spans="1:20" ht="18" customHeight="1">
      <c r="A106" s="120" t="s">
        <v>579</v>
      </c>
      <c r="B106" s="119" t="s">
        <v>229</v>
      </c>
      <c r="J106" s="110">
        <f t="shared" ref="J106:S106" si="48">J70-I70</f>
        <v>20</v>
      </c>
      <c r="K106" s="110">
        <f t="shared" si="48"/>
        <v>20</v>
      </c>
      <c r="L106" s="110">
        <f t="shared" si="48"/>
        <v>20</v>
      </c>
      <c r="M106" s="110">
        <f t="shared" si="48"/>
        <v>25</v>
      </c>
      <c r="N106" s="110">
        <f t="shared" si="48"/>
        <v>25</v>
      </c>
      <c r="O106" s="110">
        <f t="shared" si="48"/>
        <v>25</v>
      </c>
      <c r="P106" s="110">
        <f t="shared" si="48"/>
        <v>25</v>
      </c>
      <c r="Q106" s="110">
        <f t="shared" si="48"/>
        <v>25</v>
      </c>
      <c r="R106" s="110">
        <f t="shared" si="48"/>
        <v>25</v>
      </c>
      <c r="S106" s="110">
        <f t="shared" si="48"/>
        <v>25</v>
      </c>
      <c r="T106" s="110">
        <f>T70-S70</f>
        <v>100</v>
      </c>
    </row>
    <row r="107" spans="1:20" ht="18" customHeight="1">
      <c r="A107" s="120" t="s">
        <v>580</v>
      </c>
      <c r="B107" s="132" t="s">
        <v>145</v>
      </c>
      <c r="J107" s="110">
        <f t="shared" ref="J107:S107" si="49">J72-I72</f>
        <v>5</v>
      </c>
      <c r="K107" s="110">
        <f t="shared" si="49"/>
        <v>5</v>
      </c>
      <c r="L107" s="110">
        <f t="shared" si="49"/>
        <v>5</v>
      </c>
      <c r="M107" s="110">
        <f t="shared" si="49"/>
        <v>5</v>
      </c>
      <c r="N107" s="110">
        <f t="shared" si="49"/>
        <v>5</v>
      </c>
      <c r="O107" s="110">
        <f t="shared" si="49"/>
        <v>5</v>
      </c>
      <c r="P107" s="110">
        <f t="shared" si="49"/>
        <v>5</v>
      </c>
      <c r="Q107" s="110">
        <f t="shared" si="49"/>
        <v>5</v>
      </c>
      <c r="R107" s="110">
        <f t="shared" si="49"/>
        <v>5</v>
      </c>
      <c r="S107" s="110">
        <f t="shared" si="49"/>
        <v>5</v>
      </c>
      <c r="T107" s="110">
        <f>T72-S72</f>
        <v>25</v>
      </c>
    </row>
    <row r="108" spans="1:20" ht="18" customHeight="1">
      <c r="A108" s="120" t="s">
        <v>581</v>
      </c>
      <c r="B108" s="119" t="s">
        <v>230</v>
      </c>
      <c r="J108" s="110">
        <f t="shared" ref="J108:S108" si="50">J74-I74</f>
        <v>10</v>
      </c>
      <c r="K108" s="110">
        <f t="shared" si="50"/>
        <v>10</v>
      </c>
      <c r="L108" s="110">
        <f t="shared" si="50"/>
        <v>10</v>
      </c>
      <c r="M108" s="110">
        <f t="shared" si="50"/>
        <v>10</v>
      </c>
      <c r="N108" s="110">
        <f t="shared" si="50"/>
        <v>10</v>
      </c>
      <c r="O108" s="110">
        <f t="shared" si="50"/>
        <v>10</v>
      </c>
      <c r="P108" s="110">
        <f t="shared" si="50"/>
        <v>10</v>
      </c>
      <c r="Q108" s="110">
        <f t="shared" si="50"/>
        <v>10</v>
      </c>
      <c r="R108" s="110">
        <f t="shared" si="50"/>
        <v>10</v>
      </c>
      <c r="S108" s="110">
        <f t="shared" si="50"/>
        <v>10</v>
      </c>
      <c r="T108" s="110">
        <f>T74-S74</f>
        <v>50</v>
      </c>
    </row>
    <row r="109" spans="1:20" ht="18" customHeight="1">
      <c r="A109" s="120" t="s">
        <v>582</v>
      </c>
      <c r="B109" s="119" t="s">
        <v>646</v>
      </c>
      <c r="J109" s="110">
        <f t="shared" ref="J109:S109" si="51">J75-I75</f>
        <v>20</v>
      </c>
      <c r="K109" s="110">
        <f t="shared" si="51"/>
        <v>15</v>
      </c>
      <c r="L109" s="110">
        <f t="shared" si="51"/>
        <v>15</v>
      </c>
      <c r="M109" s="110">
        <f t="shared" si="51"/>
        <v>15</v>
      </c>
      <c r="N109" s="110">
        <f t="shared" si="51"/>
        <v>20</v>
      </c>
      <c r="O109" s="110">
        <f t="shared" si="51"/>
        <v>25</v>
      </c>
      <c r="P109" s="110">
        <f t="shared" si="51"/>
        <v>25</v>
      </c>
      <c r="Q109" s="110">
        <f t="shared" si="51"/>
        <v>30</v>
      </c>
      <c r="R109" s="110">
        <f t="shared" si="51"/>
        <v>30</v>
      </c>
      <c r="S109" s="110">
        <f t="shared" si="51"/>
        <v>30</v>
      </c>
      <c r="T109" s="110">
        <f>T75-S75</f>
        <v>100</v>
      </c>
    </row>
  </sheetData>
  <mergeCells count="7">
    <mergeCell ref="J2:T2"/>
    <mergeCell ref="A1:R1"/>
    <mergeCell ref="S1:T1"/>
    <mergeCell ref="A2:A3"/>
    <mergeCell ref="B2:B3"/>
    <mergeCell ref="C2:C3"/>
    <mergeCell ref="D2:I2"/>
  </mergeCells>
  <phoneticPr fontId="40" type="noConversion"/>
  <printOptions horizontalCentered="1"/>
  <pageMargins left="0.19" right="0.18" top="0.61" bottom="0.46" header="0.22" footer="0.18"/>
  <pageSetup paperSize="8" orientation="landscape" blackAndWhite="1" horizontalDpi="300" verticalDpi="300" r:id="rId1"/>
  <headerFooter alignWithMargins="0">
    <oddFooter>&amp;C&amp;P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AN172"/>
  <sheetViews>
    <sheetView zoomScale="70" workbookViewId="0">
      <pane xSplit="1" ySplit="3" topLeftCell="B61" activePane="bottomRight" state="frozen"/>
      <selection activeCell="J81" sqref="J81"/>
      <selection pane="topRight" activeCell="J81" sqref="J81"/>
      <selection pane="bottomLeft" activeCell="J81" sqref="J81"/>
      <selection pane="bottomRight" activeCell="J81" sqref="J81"/>
    </sheetView>
  </sheetViews>
  <sheetFormatPr defaultRowHeight="18" customHeight="1"/>
  <cols>
    <col min="1" max="1" width="3.5" style="167" customWidth="1"/>
    <col min="2" max="2" width="35.75" style="167" customWidth="1"/>
    <col min="3" max="3" width="7.25" style="180" customWidth="1"/>
    <col min="4" max="13" width="8" style="167" customWidth="1"/>
    <col min="14" max="14" width="8" style="182" customWidth="1"/>
    <col min="15" max="20" width="8" style="167" customWidth="1"/>
    <col min="21" max="21" width="7.75" style="167" hidden="1" customWidth="1"/>
    <col min="22" max="37" width="9" style="167" hidden="1" customWidth="1"/>
    <col min="38" max="16384" width="9" style="167"/>
  </cols>
  <sheetData>
    <row r="1" spans="1:40" ht="27.75" customHeight="1">
      <c r="A1" s="791" t="s">
        <v>276</v>
      </c>
      <c r="B1" s="791"/>
      <c r="C1" s="791"/>
      <c r="D1" s="791"/>
      <c r="E1" s="791"/>
      <c r="F1" s="791"/>
      <c r="G1" s="791"/>
      <c r="H1" s="791"/>
      <c r="I1" s="791"/>
      <c r="J1" s="791"/>
      <c r="K1" s="791"/>
      <c r="L1" s="791"/>
      <c r="M1" s="791"/>
      <c r="N1" s="791"/>
      <c r="O1" s="791"/>
      <c r="P1" s="791"/>
      <c r="Q1" s="791"/>
      <c r="R1" s="791"/>
      <c r="S1" s="792"/>
      <c r="T1" s="792"/>
    </row>
    <row r="2" spans="1:40" ht="17.25" customHeight="1">
      <c r="A2" s="790" t="s">
        <v>1</v>
      </c>
      <c r="B2" s="790" t="s">
        <v>2</v>
      </c>
      <c r="C2" s="790" t="s">
        <v>76</v>
      </c>
      <c r="D2" s="782" t="s">
        <v>175</v>
      </c>
      <c r="E2" s="782"/>
      <c r="F2" s="782"/>
      <c r="G2" s="782"/>
      <c r="H2" s="782"/>
      <c r="I2" s="782"/>
      <c r="J2" s="778" t="s">
        <v>176</v>
      </c>
      <c r="K2" s="779"/>
      <c r="L2" s="779"/>
      <c r="M2" s="779"/>
      <c r="N2" s="779"/>
      <c r="O2" s="779"/>
      <c r="P2" s="779"/>
      <c r="Q2" s="779"/>
      <c r="R2" s="779"/>
      <c r="S2" s="779"/>
      <c r="T2" s="780"/>
    </row>
    <row r="3" spans="1:40" ht="29.25" customHeight="1">
      <c r="A3" s="790"/>
      <c r="B3" s="790"/>
      <c r="C3" s="790"/>
      <c r="D3" s="168" t="s">
        <v>64</v>
      </c>
      <c r="E3" s="168" t="s">
        <v>65</v>
      </c>
      <c r="F3" s="168" t="s">
        <v>66</v>
      </c>
      <c r="G3" s="168" t="s">
        <v>67</v>
      </c>
      <c r="H3" s="168" t="s">
        <v>68</v>
      </c>
      <c r="I3" s="168" t="s">
        <v>69</v>
      </c>
      <c r="J3" s="168" t="s">
        <v>77</v>
      </c>
      <c r="K3" s="168" t="s">
        <v>78</v>
      </c>
      <c r="L3" s="168" t="s">
        <v>79</v>
      </c>
      <c r="M3" s="168" t="s">
        <v>80</v>
      </c>
      <c r="N3" s="168" t="s">
        <v>81</v>
      </c>
      <c r="O3" s="168" t="s">
        <v>82</v>
      </c>
      <c r="P3" s="168" t="s">
        <v>83</v>
      </c>
      <c r="Q3" s="168" t="s">
        <v>84</v>
      </c>
      <c r="R3" s="168" t="s">
        <v>85</v>
      </c>
      <c r="S3" s="168" t="s">
        <v>86</v>
      </c>
      <c r="T3" s="168" t="s">
        <v>87</v>
      </c>
      <c r="AL3" s="167">
        <v>2020</v>
      </c>
      <c r="AM3" s="167">
        <v>2025</v>
      </c>
      <c r="AN3" s="167">
        <v>2030</v>
      </c>
    </row>
    <row r="4" spans="1:40" s="184" customFormat="1" ht="24.95" customHeight="1">
      <c r="A4" s="174">
        <v>1</v>
      </c>
      <c r="B4" s="183" t="s">
        <v>40</v>
      </c>
      <c r="C4" s="174" t="s">
        <v>88</v>
      </c>
      <c r="D4" s="116">
        <v>115</v>
      </c>
      <c r="E4" s="116">
        <v>114</v>
      </c>
      <c r="F4" s="116">
        <v>114</v>
      </c>
      <c r="G4" s="116">
        <v>114</v>
      </c>
      <c r="H4" s="116">
        <v>114</v>
      </c>
      <c r="I4" s="116">
        <v>113</v>
      </c>
      <c r="J4" s="116">
        <v>122</v>
      </c>
      <c r="K4" s="116">
        <v>127</v>
      </c>
      <c r="L4" s="116">
        <v>129</v>
      </c>
      <c r="M4" s="116">
        <v>131</v>
      </c>
      <c r="N4" s="116">
        <v>140</v>
      </c>
      <c r="O4" s="116">
        <v>141</v>
      </c>
      <c r="P4" s="116">
        <v>141</v>
      </c>
      <c r="Q4" s="116">
        <v>141</v>
      </c>
      <c r="R4" s="116">
        <v>141</v>
      </c>
      <c r="S4" s="116">
        <v>141</v>
      </c>
      <c r="T4" s="116">
        <v>142</v>
      </c>
      <c r="AL4" s="194">
        <f>N5/N4*100</f>
        <v>61.428571428571431</v>
      </c>
      <c r="AM4" s="194">
        <f>S5/S4*100</f>
        <v>66.666666666666657</v>
      </c>
      <c r="AN4" s="194">
        <f>T5/T4*100</f>
        <v>70.422535211267601</v>
      </c>
    </row>
    <row r="5" spans="1:40" s="186" customFormat="1" ht="24.95" customHeight="1">
      <c r="A5" s="174"/>
      <c r="B5" s="185" t="s">
        <v>89</v>
      </c>
      <c r="C5" s="175" t="s">
        <v>90</v>
      </c>
      <c r="D5" s="121">
        <v>19</v>
      </c>
      <c r="E5" s="121">
        <v>22</v>
      </c>
      <c r="F5" s="121">
        <v>25</v>
      </c>
      <c r="G5" s="121">
        <v>36</v>
      </c>
      <c r="H5" s="121">
        <v>62</v>
      </c>
      <c r="I5" s="202">
        <v>73</v>
      </c>
      <c r="J5" s="202">
        <v>75</v>
      </c>
      <c r="K5" s="202">
        <v>80</v>
      </c>
      <c r="L5" s="202">
        <v>82</v>
      </c>
      <c r="M5" s="202">
        <v>84</v>
      </c>
      <c r="N5" s="618">
        <v>86</v>
      </c>
      <c r="O5" s="202">
        <v>88</v>
      </c>
      <c r="P5" s="202">
        <v>89</v>
      </c>
      <c r="Q5" s="202">
        <v>90</v>
      </c>
      <c r="R5" s="202">
        <v>92</v>
      </c>
      <c r="S5" s="618">
        <v>94</v>
      </c>
      <c r="T5" s="616">
        <v>100</v>
      </c>
      <c r="AL5" s="617" t="s">
        <v>992</v>
      </c>
    </row>
    <row r="6" spans="1:40" s="186" customFormat="1" ht="24.95" customHeight="1">
      <c r="A6" s="174"/>
      <c r="B6" s="274" t="s">
        <v>179</v>
      </c>
      <c r="C6" s="175" t="s">
        <v>90</v>
      </c>
      <c r="D6" s="121">
        <v>3</v>
      </c>
      <c r="E6" s="121">
        <v>25</v>
      </c>
      <c r="F6" s="121">
        <v>37</v>
      </c>
      <c r="G6" s="121">
        <v>47</v>
      </c>
      <c r="H6" s="121">
        <v>51</v>
      </c>
      <c r="I6" s="121">
        <v>53</v>
      </c>
      <c r="J6" s="121">
        <v>57</v>
      </c>
      <c r="K6" s="121">
        <v>62</v>
      </c>
      <c r="L6" s="121">
        <v>63</v>
      </c>
      <c r="M6" s="121">
        <v>65</v>
      </c>
      <c r="N6" s="121">
        <v>68</v>
      </c>
      <c r="O6" s="121">
        <v>68</v>
      </c>
      <c r="P6" s="121">
        <v>68</v>
      </c>
      <c r="Q6" s="121">
        <v>68</v>
      </c>
      <c r="R6" s="121">
        <v>68</v>
      </c>
      <c r="S6" s="121">
        <v>68</v>
      </c>
      <c r="T6" s="121">
        <v>69</v>
      </c>
    </row>
    <row r="7" spans="1:40" s="187" customFormat="1" ht="24.95" customHeight="1">
      <c r="A7" s="174"/>
      <c r="B7" s="274" t="s">
        <v>180</v>
      </c>
      <c r="C7" s="175" t="s">
        <v>90</v>
      </c>
      <c r="D7" s="121">
        <v>0</v>
      </c>
      <c r="E7" s="121">
        <v>0</v>
      </c>
      <c r="F7" s="121">
        <v>0</v>
      </c>
      <c r="G7" s="121">
        <v>0</v>
      </c>
      <c r="H7" s="121">
        <v>0</v>
      </c>
      <c r="I7" s="121">
        <v>8</v>
      </c>
      <c r="J7" s="121">
        <v>11</v>
      </c>
      <c r="K7" s="121">
        <v>10</v>
      </c>
      <c r="L7" s="121">
        <v>12</v>
      </c>
      <c r="M7" s="121">
        <v>12</v>
      </c>
      <c r="N7" s="121">
        <v>13</v>
      </c>
      <c r="O7" s="121">
        <v>14</v>
      </c>
      <c r="P7" s="121">
        <v>14</v>
      </c>
      <c r="Q7" s="121">
        <v>14</v>
      </c>
      <c r="R7" s="121">
        <v>15</v>
      </c>
      <c r="S7" s="121">
        <v>15</v>
      </c>
      <c r="T7" s="121">
        <v>15</v>
      </c>
      <c r="U7" s="186"/>
    </row>
    <row r="8" spans="1:40" s="186" customFormat="1" ht="24.95" customHeight="1">
      <c r="A8" s="174">
        <v>2</v>
      </c>
      <c r="B8" s="188" t="s">
        <v>92</v>
      </c>
      <c r="C8" s="174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</row>
    <row r="9" spans="1:40" s="186" customFormat="1" ht="24.95" customHeight="1">
      <c r="A9" s="175" t="s">
        <v>586</v>
      </c>
      <c r="B9" s="185" t="s">
        <v>241</v>
      </c>
      <c r="C9" s="175" t="s">
        <v>94</v>
      </c>
      <c r="D9" s="125">
        <v>9960</v>
      </c>
      <c r="E9" s="125">
        <v>10531</v>
      </c>
      <c r="F9" s="125">
        <v>10690</v>
      </c>
      <c r="G9" s="125">
        <v>10870</v>
      </c>
      <c r="H9" s="127">
        <v>10919</v>
      </c>
      <c r="I9" s="127">
        <v>11214</v>
      </c>
      <c r="J9" s="203">
        <v>11486</v>
      </c>
      <c r="K9" s="127">
        <v>12698.940800000002</v>
      </c>
      <c r="L9" s="127">
        <v>12909.769600000001</v>
      </c>
      <c r="M9" s="127">
        <v>13140.758400000002</v>
      </c>
      <c r="N9" s="127">
        <v>13367.491200000002</v>
      </c>
      <c r="O9" s="127">
        <v>13591.603200000001</v>
      </c>
      <c r="P9" s="127">
        <v>13813.609600000002</v>
      </c>
      <c r="Q9" s="127">
        <v>14033.264000000003</v>
      </c>
      <c r="R9" s="127">
        <v>14251.260800000002</v>
      </c>
      <c r="S9" s="127">
        <v>14475.596800000003</v>
      </c>
      <c r="T9" s="127">
        <v>15664.812800000002</v>
      </c>
    </row>
    <row r="10" spans="1:40" s="186" customFormat="1" ht="24.95" customHeight="1">
      <c r="A10" s="175" t="s">
        <v>587</v>
      </c>
      <c r="B10" s="185" t="s">
        <v>242</v>
      </c>
      <c r="C10" s="175" t="s">
        <v>90</v>
      </c>
      <c r="D10" s="125">
        <v>38620</v>
      </c>
      <c r="E10" s="125">
        <v>39370</v>
      </c>
      <c r="F10" s="125">
        <v>39565</v>
      </c>
      <c r="G10" s="125">
        <v>40093</v>
      </c>
      <c r="H10" s="127">
        <v>42539</v>
      </c>
      <c r="I10" s="127">
        <v>43731</v>
      </c>
      <c r="J10" s="204">
        <v>45500</v>
      </c>
      <c r="K10" s="127">
        <v>52666.5893</v>
      </c>
      <c r="L10" s="127">
        <v>53540.964099999997</v>
      </c>
      <c r="M10" s="127">
        <v>54498.948899999996</v>
      </c>
      <c r="N10" s="127">
        <v>55439.282699999996</v>
      </c>
      <c r="O10" s="127">
        <v>56368.747199999998</v>
      </c>
      <c r="P10" s="127">
        <v>57289.479099999997</v>
      </c>
      <c r="Q10" s="127">
        <v>58200.4565</v>
      </c>
      <c r="R10" s="127">
        <v>59104.559300000001</v>
      </c>
      <c r="S10" s="127">
        <v>60034.952799999999</v>
      </c>
      <c r="T10" s="127">
        <v>64967.013800000001</v>
      </c>
    </row>
    <row r="11" spans="1:40" s="186" customFormat="1" ht="24.95" customHeight="1">
      <c r="A11" s="174">
        <v>3</v>
      </c>
      <c r="B11" s="101" t="s">
        <v>98</v>
      </c>
      <c r="C11" s="102"/>
      <c r="D11" s="125"/>
      <c r="E11" s="125"/>
      <c r="F11" s="125"/>
      <c r="G11" s="142"/>
      <c r="H11" s="142"/>
      <c r="I11" s="142"/>
      <c r="J11" s="142"/>
      <c r="K11" s="142"/>
      <c r="L11" s="125"/>
      <c r="M11" s="125"/>
      <c r="N11" s="125"/>
      <c r="O11" s="125"/>
      <c r="P11" s="125"/>
      <c r="Q11" s="125"/>
      <c r="R11" s="125"/>
      <c r="S11" s="125"/>
      <c r="T11" s="125"/>
    </row>
    <row r="12" spans="1:40" s="186" customFormat="1" ht="24.95" customHeight="1">
      <c r="A12" s="175" t="s">
        <v>589</v>
      </c>
      <c r="B12" s="185" t="s">
        <v>243</v>
      </c>
      <c r="C12" s="175" t="s">
        <v>100</v>
      </c>
      <c r="D12" s="128">
        <v>86</v>
      </c>
      <c r="E12" s="128">
        <v>86.2</v>
      </c>
      <c r="F12" s="128">
        <v>86.4</v>
      </c>
      <c r="G12" s="128">
        <v>91</v>
      </c>
      <c r="H12" s="128">
        <v>92</v>
      </c>
      <c r="I12" s="128">
        <v>92.3</v>
      </c>
      <c r="J12" s="128">
        <v>92.4</v>
      </c>
      <c r="K12" s="128">
        <v>92.5</v>
      </c>
      <c r="L12" s="128">
        <v>92.5</v>
      </c>
      <c r="M12" s="128">
        <v>92.5</v>
      </c>
      <c r="N12" s="128">
        <v>92.5</v>
      </c>
      <c r="O12" s="128">
        <v>92.7</v>
      </c>
      <c r="P12" s="128">
        <v>92.7</v>
      </c>
      <c r="Q12" s="128">
        <v>92.7</v>
      </c>
      <c r="R12" s="128">
        <v>92.7</v>
      </c>
      <c r="S12" s="128">
        <v>92.7</v>
      </c>
      <c r="T12" s="128">
        <v>93</v>
      </c>
    </row>
    <row r="13" spans="1:40" s="186" customFormat="1" ht="24.95" customHeight="1">
      <c r="A13" s="175" t="s">
        <v>590</v>
      </c>
      <c r="B13" s="185" t="s">
        <v>244</v>
      </c>
      <c r="C13" s="175" t="s">
        <v>100</v>
      </c>
      <c r="D13" s="128">
        <v>88.2</v>
      </c>
      <c r="E13" s="128">
        <v>87.4</v>
      </c>
      <c r="F13" s="128">
        <v>87.5</v>
      </c>
      <c r="G13" s="128">
        <v>88.2</v>
      </c>
      <c r="H13" s="128">
        <v>89.3</v>
      </c>
      <c r="I13" s="128">
        <v>90.2</v>
      </c>
      <c r="J13" s="128">
        <v>90.3</v>
      </c>
      <c r="K13" s="128">
        <v>90.3</v>
      </c>
      <c r="L13" s="128">
        <v>90.4</v>
      </c>
      <c r="M13" s="128">
        <v>90.5</v>
      </c>
      <c r="N13" s="128">
        <v>90.6</v>
      </c>
      <c r="O13" s="128">
        <v>90.6</v>
      </c>
      <c r="P13" s="128">
        <v>90.7</v>
      </c>
      <c r="Q13" s="128">
        <v>90.8</v>
      </c>
      <c r="R13" s="128">
        <v>90.9</v>
      </c>
      <c r="S13" s="128">
        <v>91</v>
      </c>
      <c r="T13" s="128">
        <v>91.5</v>
      </c>
    </row>
    <row r="14" spans="1:40" s="187" customFormat="1" ht="24.95" customHeight="1">
      <c r="A14" s="175" t="s">
        <v>591</v>
      </c>
      <c r="B14" s="100" t="s">
        <v>188</v>
      </c>
      <c r="C14" s="175" t="s">
        <v>100</v>
      </c>
      <c r="D14" s="130">
        <v>42.3</v>
      </c>
      <c r="E14" s="130">
        <v>41.8</v>
      </c>
      <c r="F14" s="130">
        <v>42.8</v>
      </c>
      <c r="G14" s="130">
        <v>43.4</v>
      </c>
      <c r="H14" s="130">
        <v>44.1</v>
      </c>
      <c r="I14" s="130">
        <v>44.4</v>
      </c>
      <c r="J14" s="130">
        <v>45.4</v>
      </c>
      <c r="K14" s="130">
        <v>45.4</v>
      </c>
      <c r="L14" s="130">
        <v>45.4</v>
      </c>
      <c r="M14" s="130">
        <v>45.4</v>
      </c>
      <c r="N14" s="130">
        <v>45.4</v>
      </c>
      <c r="O14" s="130">
        <v>45.4</v>
      </c>
      <c r="P14" s="130">
        <v>45.4</v>
      </c>
      <c r="Q14" s="130">
        <v>45.4</v>
      </c>
      <c r="R14" s="130">
        <v>45.4</v>
      </c>
      <c r="S14" s="130">
        <v>45.4</v>
      </c>
      <c r="T14" s="130">
        <v>44.6</v>
      </c>
      <c r="U14" s="186"/>
    </row>
    <row r="15" spans="1:40" s="187" customFormat="1" ht="24.95" customHeight="1">
      <c r="A15" s="175" t="s">
        <v>592</v>
      </c>
      <c r="B15" s="100" t="s">
        <v>189</v>
      </c>
      <c r="C15" s="175" t="s">
        <v>100</v>
      </c>
      <c r="D15" s="130">
        <v>84.7</v>
      </c>
      <c r="E15" s="130">
        <v>86.5</v>
      </c>
      <c r="F15" s="130">
        <v>86.8</v>
      </c>
      <c r="G15" s="130">
        <v>86.9</v>
      </c>
      <c r="H15" s="130">
        <v>87</v>
      </c>
      <c r="I15" s="130">
        <v>87.1</v>
      </c>
      <c r="J15" s="130">
        <v>87.1</v>
      </c>
      <c r="K15" s="130">
        <v>87.2</v>
      </c>
      <c r="L15" s="130">
        <v>87.2</v>
      </c>
      <c r="M15" s="130">
        <v>87.2</v>
      </c>
      <c r="N15" s="130">
        <v>87.2</v>
      </c>
      <c r="O15" s="130">
        <v>87.2</v>
      </c>
      <c r="P15" s="130">
        <v>87.2</v>
      </c>
      <c r="Q15" s="130">
        <v>87.2</v>
      </c>
      <c r="R15" s="130">
        <v>87.2</v>
      </c>
      <c r="S15" s="130">
        <v>87.2</v>
      </c>
      <c r="T15" s="130">
        <v>87.5</v>
      </c>
      <c r="U15" s="186"/>
    </row>
    <row r="16" spans="1:40" s="187" customFormat="1" ht="24.95" customHeight="1">
      <c r="A16" s="175" t="s">
        <v>593</v>
      </c>
      <c r="B16" s="100" t="s">
        <v>191</v>
      </c>
      <c r="C16" s="175" t="s">
        <v>100</v>
      </c>
      <c r="D16" s="130">
        <f>E16-2.1</f>
        <v>32.724999999999994</v>
      </c>
      <c r="E16" s="130">
        <f>F16-2.1</f>
        <v>34.824999999999996</v>
      </c>
      <c r="F16" s="130">
        <f>G16-2.1</f>
        <v>36.924999999999997</v>
      </c>
      <c r="G16" s="130">
        <f>H16-2.1</f>
        <v>39.024999999999999</v>
      </c>
      <c r="H16" s="130">
        <v>41.125</v>
      </c>
      <c r="I16" s="130">
        <v>43.181249999999999</v>
      </c>
      <c r="J16" s="130">
        <v>45.340312500000003</v>
      </c>
      <c r="K16" s="130">
        <f t="shared" ref="K16:T16" si="0">J16+2.2</f>
        <v>47.540312500000006</v>
      </c>
      <c r="L16" s="130">
        <f t="shared" si="0"/>
        <v>49.740312500000009</v>
      </c>
      <c r="M16" s="130">
        <f t="shared" si="0"/>
        <v>51.940312500000012</v>
      </c>
      <c r="N16" s="130">
        <f t="shared" si="0"/>
        <v>54.140312500000014</v>
      </c>
      <c r="O16" s="130">
        <f t="shared" si="0"/>
        <v>56.340312500000017</v>
      </c>
      <c r="P16" s="130">
        <f t="shared" si="0"/>
        <v>58.54031250000002</v>
      </c>
      <c r="Q16" s="130">
        <f t="shared" si="0"/>
        <v>60.740312500000023</v>
      </c>
      <c r="R16" s="130">
        <f t="shared" si="0"/>
        <v>62.940312500000026</v>
      </c>
      <c r="S16" s="130">
        <f t="shared" si="0"/>
        <v>65.140312500000022</v>
      </c>
      <c r="T16" s="130">
        <f t="shared" si="0"/>
        <v>67.340312500000024</v>
      </c>
      <c r="U16" s="186"/>
    </row>
    <row r="17" spans="1:38" s="187" customFormat="1" ht="24.95" customHeight="1">
      <c r="A17" s="175" t="s">
        <v>594</v>
      </c>
      <c r="B17" s="185" t="s">
        <v>195</v>
      </c>
      <c r="C17" s="175" t="s">
        <v>100</v>
      </c>
      <c r="D17" s="130">
        <v>98.1</v>
      </c>
      <c r="E17" s="130">
        <v>98.2</v>
      </c>
      <c r="F17" s="130">
        <v>98</v>
      </c>
      <c r="G17" s="130">
        <v>98</v>
      </c>
      <c r="H17" s="130">
        <v>98.5</v>
      </c>
      <c r="I17" s="130">
        <v>98.6</v>
      </c>
      <c r="J17" s="130">
        <v>98.7</v>
      </c>
      <c r="K17" s="130">
        <v>98.7</v>
      </c>
      <c r="L17" s="130">
        <v>98.7</v>
      </c>
      <c r="M17" s="130">
        <v>98.8</v>
      </c>
      <c r="N17" s="130">
        <v>98.8</v>
      </c>
      <c r="O17" s="130">
        <v>98.8</v>
      </c>
      <c r="P17" s="130">
        <v>98.8</v>
      </c>
      <c r="Q17" s="130">
        <v>99.57</v>
      </c>
      <c r="R17" s="130">
        <v>99.573000000000008</v>
      </c>
      <c r="S17" s="130">
        <v>99.584999999999994</v>
      </c>
      <c r="T17" s="130">
        <v>99.60799999999999</v>
      </c>
      <c r="U17" s="186"/>
    </row>
    <row r="18" spans="1:38" s="187" customFormat="1" ht="24.95" customHeight="1">
      <c r="A18" s="175" t="s">
        <v>595</v>
      </c>
      <c r="B18" s="185" t="s">
        <v>196</v>
      </c>
      <c r="C18" s="175" t="s">
        <v>100</v>
      </c>
      <c r="D18" s="130">
        <v>1</v>
      </c>
      <c r="E18" s="130">
        <v>0.9</v>
      </c>
      <c r="F18" s="130">
        <v>1</v>
      </c>
      <c r="G18" s="130">
        <v>1</v>
      </c>
      <c r="H18" s="130">
        <v>0.8</v>
      </c>
      <c r="I18" s="130">
        <v>0.7</v>
      </c>
      <c r="J18" s="130">
        <v>0.6</v>
      </c>
      <c r="K18" s="130">
        <v>0.6</v>
      </c>
      <c r="L18" s="130">
        <v>0.6</v>
      </c>
      <c r="M18" s="130">
        <v>0.6</v>
      </c>
      <c r="N18" s="130">
        <v>0.6</v>
      </c>
      <c r="O18" s="130">
        <v>0.5</v>
      </c>
      <c r="P18" s="130">
        <v>0.5</v>
      </c>
      <c r="Q18" s="130">
        <v>0.5</v>
      </c>
      <c r="R18" s="130">
        <v>0.5</v>
      </c>
      <c r="S18" s="130">
        <v>0.5</v>
      </c>
      <c r="T18" s="130">
        <v>0.5</v>
      </c>
      <c r="U18" s="186"/>
    </row>
    <row r="19" spans="1:38" s="612" customFormat="1" ht="24.95" customHeight="1">
      <c r="A19" s="609" t="s">
        <v>596</v>
      </c>
      <c r="B19" s="610" t="s">
        <v>245</v>
      </c>
      <c r="C19" s="609" t="s">
        <v>100</v>
      </c>
      <c r="D19" s="606">
        <v>96.4</v>
      </c>
      <c r="E19" s="606">
        <v>98.1</v>
      </c>
      <c r="F19" s="606">
        <v>98.1</v>
      </c>
      <c r="G19" s="606">
        <v>98.2</v>
      </c>
      <c r="H19" s="607">
        <v>99.85</v>
      </c>
      <c r="I19" s="607">
        <v>99.85</v>
      </c>
      <c r="J19" s="607">
        <v>99.85</v>
      </c>
      <c r="K19" s="607">
        <v>99.86</v>
      </c>
      <c r="L19" s="607">
        <v>99.87</v>
      </c>
      <c r="M19" s="607">
        <v>99.87</v>
      </c>
      <c r="N19" s="606">
        <v>99.9</v>
      </c>
      <c r="O19" s="606">
        <v>99.9</v>
      </c>
      <c r="P19" s="606">
        <v>99.9</v>
      </c>
      <c r="Q19" s="606">
        <v>99.9</v>
      </c>
      <c r="R19" s="606">
        <v>99.9</v>
      </c>
      <c r="S19" s="606">
        <v>99.9</v>
      </c>
      <c r="T19" s="606">
        <v>99.9</v>
      </c>
      <c r="U19" s="611"/>
      <c r="AL19" s="612" t="s">
        <v>990</v>
      </c>
    </row>
    <row r="20" spans="1:38" s="187" customFormat="1" ht="24.95" customHeight="1">
      <c r="A20" s="175" t="s">
        <v>632</v>
      </c>
      <c r="B20" s="185" t="s">
        <v>198</v>
      </c>
      <c r="C20" s="175" t="s">
        <v>100</v>
      </c>
      <c r="D20" s="130">
        <v>0.9</v>
      </c>
      <c r="E20" s="130">
        <v>0.9</v>
      </c>
      <c r="F20" s="130">
        <v>1</v>
      </c>
      <c r="G20" s="130">
        <v>1</v>
      </c>
      <c r="H20" s="130">
        <v>0.7</v>
      </c>
      <c r="I20" s="130">
        <v>0.7</v>
      </c>
      <c r="J20" s="130">
        <v>0.7</v>
      </c>
      <c r="K20" s="130">
        <v>0.7</v>
      </c>
      <c r="L20" s="130">
        <v>0.7</v>
      </c>
      <c r="M20" s="130">
        <v>0.7</v>
      </c>
      <c r="N20" s="130">
        <v>0.7</v>
      </c>
      <c r="O20" s="130">
        <v>0.7</v>
      </c>
      <c r="P20" s="130">
        <v>0.7</v>
      </c>
      <c r="Q20" s="130">
        <v>0.7</v>
      </c>
      <c r="R20" s="130">
        <v>0.7</v>
      </c>
      <c r="S20" s="130">
        <v>0.7</v>
      </c>
      <c r="T20" s="130">
        <v>0.5</v>
      </c>
      <c r="U20" s="190"/>
    </row>
    <row r="21" spans="1:38" s="186" customFormat="1" ht="24.95" customHeight="1">
      <c r="A21" s="174">
        <v>4</v>
      </c>
      <c r="B21" s="183" t="s">
        <v>199</v>
      </c>
      <c r="C21" s="174" t="s">
        <v>94</v>
      </c>
      <c r="D21" s="191">
        <v>37088</v>
      </c>
      <c r="E21" s="191">
        <v>36424</v>
      </c>
      <c r="F21" s="191">
        <v>36398</v>
      </c>
      <c r="G21" s="191">
        <v>37087</v>
      </c>
      <c r="H21" s="191">
        <v>39754</v>
      </c>
      <c r="I21" s="191">
        <v>40530</v>
      </c>
      <c r="J21" s="191">
        <v>41835</v>
      </c>
      <c r="K21" s="192">
        <v>48715.929905800003</v>
      </c>
      <c r="L21" s="192">
        <v>49561.65443870001</v>
      </c>
      <c r="M21" s="192">
        <v>50485.0456012</v>
      </c>
      <c r="N21" s="192">
        <v>51394.307974300005</v>
      </c>
      <c r="O21" s="192">
        <v>52295.559952000003</v>
      </c>
      <c r="P21" s="192">
        <v>53248.004939199993</v>
      </c>
      <c r="Q21" s="192">
        <v>54137.016784500003</v>
      </c>
      <c r="R21" s="192">
        <v>55021.567200200006</v>
      </c>
      <c r="S21" s="192">
        <v>55931.981811999998</v>
      </c>
      <c r="T21" s="192">
        <v>60769.652695999997</v>
      </c>
    </row>
    <row r="22" spans="1:38" s="187" customFormat="1" ht="24.95" customHeight="1">
      <c r="A22" s="175" t="s">
        <v>599</v>
      </c>
      <c r="B22" s="193" t="s">
        <v>246</v>
      </c>
      <c r="C22" s="175" t="s">
        <v>90</v>
      </c>
      <c r="D22" s="125">
        <v>11079</v>
      </c>
      <c r="E22" s="125">
        <v>11542</v>
      </c>
      <c r="F22" s="125">
        <v>14489</v>
      </c>
      <c r="G22" s="125">
        <v>15242</v>
      </c>
      <c r="H22" s="125">
        <v>17233</v>
      </c>
      <c r="I22" s="125">
        <v>18613</v>
      </c>
      <c r="J22" s="125">
        <v>19244</v>
      </c>
      <c r="K22" s="125">
        <v>22409.327756668004</v>
      </c>
      <c r="L22" s="125">
        <v>22798.361041802</v>
      </c>
      <c r="M22" s="125">
        <v>23223.120976552</v>
      </c>
      <c r="N22" s="125">
        <v>23641.381668178001</v>
      </c>
      <c r="O22" s="125">
        <v>26147.779976000005</v>
      </c>
      <c r="P22" s="125">
        <v>26624.002469599996</v>
      </c>
      <c r="Q22" s="125">
        <v>27068.508392250005</v>
      </c>
      <c r="R22" s="125">
        <v>27510.7836001</v>
      </c>
      <c r="S22" s="125">
        <v>27965.990906000003</v>
      </c>
      <c r="T22" s="125">
        <v>30384.826348000002</v>
      </c>
      <c r="U22" s="186" t="s">
        <v>247</v>
      </c>
    </row>
    <row r="23" spans="1:38" s="187" customFormat="1" ht="24.95" customHeight="1">
      <c r="A23" s="175" t="s">
        <v>600</v>
      </c>
      <c r="B23" s="193" t="s">
        <v>202</v>
      </c>
      <c r="C23" s="175" t="s">
        <v>90</v>
      </c>
      <c r="D23" s="125">
        <v>4203</v>
      </c>
      <c r="E23" s="125">
        <v>4968</v>
      </c>
      <c r="F23" s="125">
        <v>8271</v>
      </c>
      <c r="G23" s="125">
        <v>14797</v>
      </c>
      <c r="H23" s="125">
        <v>19965</v>
      </c>
      <c r="I23" s="125">
        <v>22808</v>
      </c>
      <c r="J23" s="125">
        <v>24580</v>
      </c>
      <c r="K23" s="125">
        <v>29229.557943480002</v>
      </c>
      <c r="L23" s="125">
        <v>29736.992663220004</v>
      </c>
      <c r="M23" s="125">
        <v>30291.02736072</v>
      </c>
      <c r="N23" s="125">
        <v>30836.584784580002</v>
      </c>
      <c r="O23" s="125">
        <v>33992.113968800004</v>
      </c>
      <c r="P23" s="125">
        <v>34611.203210479995</v>
      </c>
      <c r="Q23" s="125">
        <v>35189.060909925007</v>
      </c>
      <c r="R23" s="125">
        <v>35764.018680130001</v>
      </c>
      <c r="S23" s="125">
        <v>36355.788177800001</v>
      </c>
      <c r="T23" s="125">
        <v>42538.756887200005</v>
      </c>
      <c r="U23" s="186" t="s">
        <v>247</v>
      </c>
    </row>
    <row r="24" spans="1:38" s="187" customFormat="1" ht="24.95" customHeight="1">
      <c r="A24" s="175" t="s">
        <v>601</v>
      </c>
      <c r="B24" s="193" t="s">
        <v>203</v>
      </c>
      <c r="C24" s="175" t="s">
        <v>90</v>
      </c>
      <c r="D24" s="125">
        <v>0</v>
      </c>
      <c r="E24" s="125">
        <v>0</v>
      </c>
      <c r="F24" s="125">
        <v>0</v>
      </c>
      <c r="G24" s="125">
        <v>0</v>
      </c>
      <c r="H24" s="125">
        <v>0</v>
      </c>
      <c r="I24" s="125">
        <v>692</v>
      </c>
      <c r="J24" s="125">
        <v>1597</v>
      </c>
      <c r="K24" s="125">
        <v>2341</v>
      </c>
      <c r="L24" s="125">
        <v>3722</v>
      </c>
      <c r="M24" s="125">
        <v>4524</v>
      </c>
      <c r="N24" s="125">
        <v>4676</v>
      </c>
      <c r="O24" s="125">
        <v>4573</v>
      </c>
      <c r="P24" s="125">
        <v>4627</v>
      </c>
      <c r="Q24" s="125">
        <v>4593</v>
      </c>
      <c r="R24" s="125">
        <v>4581</v>
      </c>
      <c r="S24" s="125">
        <v>4583</v>
      </c>
      <c r="T24" s="125">
        <v>4586</v>
      </c>
      <c r="U24" s="186" t="s">
        <v>248</v>
      </c>
    </row>
    <row r="25" spans="1:38" s="187" customFormat="1" ht="24.95" customHeight="1">
      <c r="A25" s="175" t="s">
        <v>654</v>
      </c>
      <c r="B25" s="193" t="s">
        <v>204</v>
      </c>
      <c r="C25" s="175" t="s">
        <v>90</v>
      </c>
      <c r="D25" s="125">
        <v>40</v>
      </c>
      <c r="E25" s="125">
        <v>56</v>
      </c>
      <c r="F25" s="125">
        <v>63</v>
      </c>
      <c r="G25" s="125">
        <v>77</v>
      </c>
      <c r="H25" s="125">
        <v>78</v>
      </c>
      <c r="I25" s="125">
        <v>96</v>
      </c>
      <c r="J25" s="125">
        <v>106</v>
      </c>
      <c r="K25" s="125">
        <v>119</v>
      </c>
      <c r="L25" s="125">
        <v>135</v>
      </c>
      <c r="M25" s="125">
        <v>121</v>
      </c>
      <c r="N25" s="125">
        <v>121</v>
      </c>
      <c r="O25" s="125">
        <v>121</v>
      </c>
      <c r="P25" s="125">
        <v>114</v>
      </c>
      <c r="Q25" s="125">
        <v>113</v>
      </c>
      <c r="R25" s="125">
        <v>109</v>
      </c>
      <c r="S25" s="125">
        <v>110</v>
      </c>
      <c r="T25" s="125">
        <v>141</v>
      </c>
      <c r="U25" s="186" t="s">
        <v>249</v>
      </c>
    </row>
    <row r="26" spans="1:38" s="187" customFormat="1" ht="24.95" customHeight="1">
      <c r="A26" s="175" t="s">
        <v>655</v>
      </c>
      <c r="B26" s="193" t="s">
        <v>250</v>
      </c>
      <c r="C26" s="175" t="s">
        <v>90</v>
      </c>
      <c r="D26" s="125">
        <f t="shared" ref="D26:I26" si="1">D12*D9/100</f>
        <v>8565.6</v>
      </c>
      <c r="E26" s="125">
        <f t="shared" si="1"/>
        <v>9077.7220000000016</v>
      </c>
      <c r="F26" s="125">
        <f t="shared" si="1"/>
        <v>9236.1600000000017</v>
      </c>
      <c r="G26" s="125">
        <f t="shared" si="1"/>
        <v>9891.7000000000007</v>
      </c>
      <c r="H26" s="125">
        <f t="shared" si="1"/>
        <v>10045.48</v>
      </c>
      <c r="I26" s="125">
        <f t="shared" si="1"/>
        <v>10350.521999999999</v>
      </c>
      <c r="J26" s="125">
        <f t="shared" ref="J26:T26" si="2">J9*J12/100</f>
        <v>10613.064000000002</v>
      </c>
      <c r="K26" s="125">
        <f t="shared" si="2"/>
        <v>11746.520240000002</v>
      </c>
      <c r="L26" s="125">
        <f t="shared" si="2"/>
        <v>11941.536880000001</v>
      </c>
      <c r="M26" s="125">
        <f t="shared" si="2"/>
        <v>12155.201520000002</v>
      </c>
      <c r="N26" s="125">
        <f t="shared" si="2"/>
        <v>12364.929360000002</v>
      </c>
      <c r="O26" s="125">
        <f t="shared" si="2"/>
        <v>12599.416166400002</v>
      </c>
      <c r="P26" s="125">
        <f t="shared" si="2"/>
        <v>12805.216099200003</v>
      </c>
      <c r="Q26" s="125">
        <f t="shared" si="2"/>
        <v>13008.835728000002</v>
      </c>
      <c r="R26" s="125">
        <f t="shared" si="2"/>
        <v>13210.918761600002</v>
      </c>
      <c r="S26" s="125">
        <f t="shared" si="2"/>
        <v>13418.878233600002</v>
      </c>
      <c r="T26" s="125">
        <f t="shared" si="2"/>
        <v>14568.275904000002</v>
      </c>
      <c r="U26" s="186"/>
    </row>
    <row r="27" spans="1:38" s="187" customFormat="1" ht="24.95" customHeight="1">
      <c r="A27" s="175" t="s">
        <v>656</v>
      </c>
      <c r="B27" s="193" t="s">
        <v>251</v>
      </c>
      <c r="C27" s="175" t="s">
        <v>90</v>
      </c>
      <c r="D27" s="125">
        <f t="shared" ref="D27:I27" si="3">D10*D13/100</f>
        <v>34062.839999999997</v>
      </c>
      <c r="E27" s="125">
        <f t="shared" si="3"/>
        <v>34409.379999999997</v>
      </c>
      <c r="F27" s="125">
        <f t="shared" si="3"/>
        <v>34619.375</v>
      </c>
      <c r="G27" s="125">
        <f t="shared" si="3"/>
        <v>35362.025999999998</v>
      </c>
      <c r="H27" s="125">
        <f t="shared" si="3"/>
        <v>37987.326999999997</v>
      </c>
      <c r="I27" s="125">
        <f t="shared" si="3"/>
        <v>39445.362000000001</v>
      </c>
      <c r="J27" s="125">
        <f t="shared" ref="J27:T27" si="4">J10*J13/100</f>
        <v>41086.5</v>
      </c>
      <c r="K27" s="125">
        <f t="shared" si="4"/>
        <v>47557.930137900003</v>
      </c>
      <c r="L27" s="125">
        <f t="shared" si="4"/>
        <v>48401.031546400001</v>
      </c>
      <c r="M27" s="125">
        <f t="shared" si="4"/>
        <v>49321.548754499992</v>
      </c>
      <c r="N27" s="125">
        <f t="shared" si="4"/>
        <v>50227.990126199991</v>
      </c>
      <c r="O27" s="125">
        <f t="shared" si="4"/>
        <v>51070.084963200003</v>
      </c>
      <c r="P27" s="125">
        <f t="shared" si="4"/>
        <v>51961.557543700001</v>
      </c>
      <c r="Q27" s="125">
        <f t="shared" si="4"/>
        <v>52846.014501999998</v>
      </c>
      <c r="R27" s="125">
        <f t="shared" si="4"/>
        <v>53726.044403699998</v>
      </c>
      <c r="S27" s="125">
        <f t="shared" si="4"/>
        <v>54631.807047999995</v>
      </c>
      <c r="T27" s="125">
        <f t="shared" si="4"/>
        <v>59444.817626999997</v>
      </c>
      <c r="U27" s="186"/>
    </row>
    <row r="28" spans="1:38" s="184" customFormat="1" ht="24.95" customHeight="1">
      <c r="A28" s="174">
        <v>5</v>
      </c>
      <c r="B28" s="183" t="s">
        <v>209</v>
      </c>
      <c r="C28" s="175" t="s">
        <v>105</v>
      </c>
      <c r="D28" s="136">
        <v>1315</v>
      </c>
      <c r="E28" s="136">
        <v>1273</v>
      </c>
      <c r="F28" s="136">
        <v>1283</v>
      </c>
      <c r="G28" s="136">
        <v>1276</v>
      </c>
      <c r="H28" s="136">
        <v>1322</v>
      </c>
      <c r="I28" s="136">
        <v>1320</v>
      </c>
      <c r="J28" s="136">
        <f t="shared" ref="J28:T28" si="5">J21/J29</f>
        <v>1349.516129032258</v>
      </c>
      <c r="K28" s="136">
        <f t="shared" si="5"/>
        <v>1556.4194858083067</v>
      </c>
      <c r="L28" s="136">
        <f t="shared" si="5"/>
        <v>1573.3858551968258</v>
      </c>
      <c r="M28" s="136">
        <f t="shared" si="5"/>
        <v>1577.6576750375</v>
      </c>
      <c r="N28" s="136">
        <f t="shared" si="5"/>
        <v>1581.363322286154</v>
      </c>
      <c r="O28" s="136">
        <f t="shared" si="5"/>
        <v>1584.7139379393941</v>
      </c>
      <c r="P28" s="136">
        <f t="shared" si="5"/>
        <v>1589.4926847522386</v>
      </c>
      <c r="Q28" s="136">
        <f t="shared" si="5"/>
        <v>1592.2651995441176</v>
      </c>
      <c r="R28" s="136">
        <f t="shared" si="5"/>
        <v>1594.8280347884061</v>
      </c>
      <c r="S28" s="136">
        <f t="shared" si="5"/>
        <v>1598.0566231999999</v>
      </c>
      <c r="T28" s="136">
        <f t="shared" si="5"/>
        <v>1736.2757913142857</v>
      </c>
      <c r="U28" s="186"/>
    </row>
    <row r="29" spans="1:38" s="184" customFormat="1" ht="24.95" customHeight="1">
      <c r="A29" s="175" t="s">
        <v>607</v>
      </c>
      <c r="B29" s="193" t="s">
        <v>252</v>
      </c>
      <c r="C29" s="175"/>
      <c r="D29" s="125">
        <f t="shared" ref="D29:I29" si="6">D21/D28</f>
        <v>28.203802281368823</v>
      </c>
      <c r="E29" s="125">
        <f t="shared" si="6"/>
        <v>28.612725844461902</v>
      </c>
      <c r="F29" s="125">
        <f t="shared" si="6"/>
        <v>28.369446609508962</v>
      </c>
      <c r="G29" s="125">
        <f t="shared" si="6"/>
        <v>29.065047021943574</v>
      </c>
      <c r="H29" s="125">
        <f t="shared" si="6"/>
        <v>30.071104387291982</v>
      </c>
      <c r="I29" s="130">
        <f t="shared" si="6"/>
        <v>30.704545454545453</v>
      </c>
      <c r="J29" s="130">
        <v>31</v>
      </c>
      <c r="K29" s="130">
        <v>31.3</v>
      </c>
      <c r="L29" s="130">
        <v>31.5</v>
      </c>
      <c r="M29" s="130">
        <v>32</v>
      </c>
      <c r="N29" s="130">
        <v>32.5</v>
      </c>
      <c r="O29" s="130">
        <v>33</v>
      </c>
      <c r="P29" s="130">
        <v>33.5</v>
      </c>
      <c r="Q29" s="130">
        <v>34</v>
      </c>
      <c r="R29" s="130">
        <v>34.5</v>
      </c>
      <c r="S29" s="130">
        <v>35</v>
      </c>
      <c r="T29" s="130">
        <v>35</v>
      </c>
      <c r="U29" s="186"/>
    </row>
    <row r="30" spans="1:38" s="184" customFormat="1" ht="24.95" customHeight="1">
      <c r="A30" s="175" t="s">
        <v>609</v>
      </c>
      <c r="B30" s="193" t="s">
        <v>657</v>
      </c>
      <c r="C30" s="175" t="s">
        <v>90</v>
      </c>
      <c r="D30" s="125">
        <v>32</v>
      </c>
      <c r="E30" s="125">
        <v>284</v>
      </c>
      <c r="F30" s="125">
        <v>353</v>
      </c>
      <c r="G30" s="125">
        <v>500</v>
      </c>
      <c r="H30" s="125">
        <v>539</v>
      </c>
      <c r="I30" s="125">
        <v>615</v>
      </c>
      <c r="J30" s="125">
        <v>637</v>
      </c>
      <c r="K30" s="125">
        <v>756</v>
      </c>
      <c r="L30" s="125">
        <v>767</v>
      </c>
      <c r="M30" s="125">
        <v>785</v>
      </c>
      <c r="N30" s="125">
        <v>804</v>
      </c>
      <c r="O30" s="125">
        <v>827</v>
      </c>
      <c r="P30" s="125">
        <v>844</v>
      </c>
      <c r="Q30" s="125">
        <v>860</v>
      </c>
      <c r="R30" s="125">
        <v>865</v>
      </c>
      <c r="S30" s="125">
        <v>854</v>
      </c>
      <c r="T30" s="125">
        <v>844</v>
      </c>
    </row>
    <row r="31" spans="1:38" s="184" customFormat="1" ht="24.95" customHeight="1">
      <c r="A31" s="175" t="s">
        <v>610</v>
      </c>
      <c r="B31" s="193" t="s">
        <v>213</v>
      </c>
      <c r="C31" s="175" t="s">
        <v>90</v>
      </c>
      <c r="D31" s="125">
        <f t="shared" ref="D31:T31" si="7">D23/D29</f>
        <v>149.02246009490941</v>
      </c>
      <c r="E31" s="125">
        <f t="shared" si="7"/>
        <v>173.62903580057105</v>
      </c>
      <c r="F31" s="125">
        <f t="shared" si="7"/>
        <v>291.54604648607068</v>
      </c>
      <c r="G31" s="125">
        <f t="shared" si="7"/>
        <v>509.09946881656646</v>
      </c>
      <c r="H31" s="125">
        <f t="shared" si="7"/>
        <v>663.92639734366355</v>
      </c>
      <c r="I31" s="125">
        <f t="shared" si="7"/>
        <v>742.82161361954115</v>
      </c>
      <c r="J31" s="125">
        <f t="shared" si="7"/>
        <v>792.90322580645159</v>
      </c>
      <c r="K31" s="125">
        <f t="shared" si="7"/>
        <v>933.85169148498403</v>
      </c>
      <c r="L31" s="125">
        <f t="shared" si="7"/>
        <v>944.0315131180954</v>
      </c>
      <c r="M31" s="125">
        <f t="shared" si="7"/>
        <v>946.59460502249999</v>
      </c>
      <c r="N31" s="125">
        <f t="shared" si="7"/>
        <v>948.81799337169241</v>
      </c>
      <c r="O31" s="125">
        <f t="shared" si="7"/>
        <v>1030.0640596606063</v>
      </c>
      <c r="P31" s="125">
        <f t="shared" si="7"/>
        <v>1033.170245088955</v>
      </c>
      <c r="Q31" s="125">
        <f t="shared" si="7"/>
        <v>1034.9723797036768</v>
      </c>
      <c r="R31" s="125">
        <f t="shared" si="7"/>
        <v>1036.6382226124638</v>
      </c>
      <c r="S31" s="125">
        <f t="shared" si="7"/>
        <v>1038.7368050800001</v>
      </c>
      <c r="T31" s="125">
        <f t="shared" si="7"/>
        <v>1215.3930539200001</v>
      </c>
      <c r="U31" s="186" t="s">
        <v>253</v>
      </c>
    </row>
    <row r="32" spans="1:38" s="186" customFormat="1" ht="24.95" customHeight="1">
      <c r="A32" s="174">
        <v>6</v>
      </c>
      <c r="B32" s="183" t="s">
        <v>215</v>
      </c>
      <c r="C32" s="174"/>
      <c r="D32" s="133">
        <f>D33+D36+D52+D35</f>
        <v>3483</v>
      </c>
      <c r="E32" s="133">
        <f t="shared" ref="E32:AK32" si="8">E33+E36+E52+E35</f>
        <v>3418</v>
      </c>
      <c r="F32" s="133">
        <f t="shared" si="8"/>
        <v>3548</v>
      </c>
      <c r="G32" s="133">
        <f t="shared" si="8"/>
        <v>3659</v>
      </c>
      <c r="H32" s="133">
        <f t="shared" si="8"/>
        <v>3662</v>
      </c>
      <c r="I32" s="133">
        <f t="shared" si="8"/>
        <v>3715</v>
      </c>
      <c r="J32" s="133">
        <f t="shared" si="8"/>
        <v>3982.4722580645162</v>
      </c>
      <c r="K32" s="133">
        <f t="shared" si="8"/>
        <v>4448.8789716166139</v>
      </c>
      <c r="L32" s="133">
        <f t="shared" si="8"/>
        <v>4503.851710393652</v>
      </c>
      <c r="M32" s="133">
        <f t="shared" si="8"/>
        <v>4533.4353500750003</v>
      </c>
      <c r="N32" s="133">
        <f t="shared" si="8"/>
        <v>4635.5266445723082</v>
      </c>
      <c r="O32" s="133">
        <f t="shared" si="8"/>
        <v>4652.7478758787884</v>
      </c>
      <c r="P32" s="133">
        <f t="shared" si="8"/>
        <v>4662.3053695044773</v>
      </c>
      <c r="Q32" s="133">
        <f t="shared" si="8"/>
        <v>4667.8503990882355</v>
      </c>
      <c r="R32" s="133">
        <f t="shared" si="8"/>
        <v>4672.9760695768127</v>
      </c>
      <c r="S32" s="133">
        <f t="shared" si="8"/>
        <v>4679.4332463999999</v>
      </c>
      <c r="T32" s="133">
        <f t="shared" si="8"/>
        <v>4966.391582628572</v>
      </c>
      <c r="U32" s="133" t="e">
        <f t="shared" si="8"/>
        <v>#VALUE!</v>
      </c>
      <c r="V32" s="133">
        <f t="shared" si="8"/>
        <v>0</v>
      </c>
      <c r="W32" s="133">
        <f t="shared" si="8"/>
        <v>0</v>
      </c>
      <c r="X32" s="133">
        <f t="shared" si="8"/>
        <v>0</v>
      </c>
      <c r="Y32" s="133">
        <f t="shared" si="8"/>
        <v>0</v>
      </c>
      <c r="Z32" s="133">
        <f t="shared" si="8"/>
        <v>0</v>
      </c>
      <c r="AA32" s="133">
        <f t="shared" si="8"/>
        <v>0</v>
      </c>
      <c r="AB32" s="133">
        <f t="shared" si="8"/>
        <v>0</v>
      </c>
      <c r="AC32" s="133">
        <f t="shared" si="8"/>
        <v>0</v>
      </c>
      <c r="AD32" s="133">
        <f t="shared" si="8"/>
        <v>0</v>
      </c>
      <c r="AE32" s="133">
        <f t="shared" si="8"/>
        <v>0</v>
      </c>
      <c r="AF32" s="133">
        <f t="shared" si="8"/>
        <v>0</v>
      </c>
      <c r="AG32" s="133">
        <f t="shared" si="8"/>
        <v>0</v>
      </c>
      <c r="AH32" s="133">
        <f t="shared" si="8"/>
        <v>0</v>
      </c>
      <c r="AI32" s="133">
        <f t="shared" si="8"/>
        <v>0</v>
      </c>
      <c r="AJ32" s="133">
        <f t="shared" si="8"/>
        <v>0</v>
      </c>
      <c r="AK32" s="133">
        <f t="shared" si="8"/>
        <v>0</v>
      </c>
    </row>
    <row r="33" spans="1:37" s="187" customFormat="1" ht="24.95" customHeight="1">
      <c r="A33" s="175" t="s">
        <v>612</v>
      </c>
      <c r="B33" s="185" t="s">
        <v>614</v>
      </c>
      <c r="C33" s="175" t="s">
        <v>90</v>
      </c>
      <c r="D33" s="125">
        <v>251</v>
      </c>
      <c r="E33" s="125">
        <v>254</v>
      </c>
      <c r="F33" s="125">
        <v>263</v>
      </c>
      <c r="G33" s="125">
        <v>274</v>
      </c>
      <c r="H33" s="125">
        <v>274</v>
      </c>
      <c r="I33" s="125">
        <v>286</v>
      </c>
      <c r="J33" s="125">
        <f t="shared" ref="J33:T33" si="9">J4*2.52</f>
        <v>307.44</v>
      </c>
      <c r="K33" s="125">
        <f t="shared" si="9"/>
        <v>320.04000000000002</v>
      </c>
      <c r="L33" s="125">
        <f t="shared" si="9"/>
        <v>325.08</v>
      </c>
      <c r="M33" s="125">
        <f t="shared" si="9"/>
        <v>330.12</v>
      </c>
      <c r="N33" s="125">
        <f t="shared" si="9"/>
        <v>352.8</v>
      </c>
      <c r="O33" s="125">
        <f t="shared" si="9"/>
        <v>355.32</v>
      </c>
      <c r="P33" s="125">
        <f t="shared" si="9"/>
        <v>355.32</v>
      </c>
      <c r="Q33" s="125">
        <f t="shared" si="9"/>
        <v>355.32</v>
      </c>
      <c r="R33" s="125">
        <f t="shared" si="9"/>
        <v>355.32</v>
      </c>
      <c r="S33" s="125">
        <f t="shared" si="9"/>
        <v>355.32</v>
      </c>
      <c r="T33" s="125">
        <f t="shared" si="9"/>
        <v>357.84</v>
      </c>
      <c r="U33" s="186" t="s">
        <v>254</v>
      </c>
    </row>
    <row r="34" spans="1:37" s="187" customFormat="1" ht="24.95" customHeight="1">
      <c r="A34" s="174"/>
      <c r="B34" s="185" t="s">
        <v>635</v>
      </c>
      <c r="C34" s="175" t="s">
        <v>90</v>
      </c>
      <c r="D34" s="125">
        <v>179</v>
      </c>
      <c r="E34" s="125">
        <v>197</v>
      </c>
      <c r="F34" s="125">
        <v>215</v>
      </c>
      <c r="G34" s="125">
        <v>219</v>
      </c>
      <c r="H34" s="125">
        <v>228</v>
      </c>
      <c r="I34" s="125">
        <v>241</v>
      </c>
      <c r="J34" s="125">
        <f>J33*0.87</f>
        <v>267.47280000000001</v>
      </c>
      <c r="K34" s="125">
        <f>K33*0.9</f>
        <v>288.036</v>
      </c>
      <c r="L34" s="125">
        <f>L33*0.93</f>
        <v>302.32440000000003</v>
      </c>
      <c r="M34" s="125">
        <f>M33*0.96</f>
        <v>316.91519999999997</v>
      </c>
      <c r="N34" s="125">
        <f>N33*0.99</f>
        <v>349.27199999999999</v>
      </c>
      <c r="O34" s="125">
        <f>O33*1</f>
        <v>355.32</v>
      </c>
      <c r="P34" s="125">
        <f>P33*1</f>
        <v>355.32</v>
      </c>
      <c r="Q34" s="125">
        <f>Q33*1</f>
        <v>355.32</v>
      </c>
      <c r="R34" s="125">
        <f>R33*1</f>
        <v>355.32</v>
      </c>
      <c r="S34" s="125">
        <f>S33*1</f>
        <v>355.32</v>
      </c>
      <c r="T34" s="125">
        <v>345</v>
      </c>
      <c r="U34" s="186"/>
    </row>
    <row r="35" spans="1:37" s="187" customFormat="1" ht="24.95" customHeight="1">
      <c r="A35" s="175" t="s">
        <v>613</v>
      </c>
      <c r="B35" s="185" t="s">
        <v>659</v>
      </c>
      <c r="C35" s="175"/>
      <c r="D35" s="127">
        <v>38</v>
      </c>
      <c r="E35" s="127">
        <v>51</v>
      </c>
      <c r="F35" s="127">
        <v>70</v>
      </c>
      <c r="G35" s="127">
        <v>93</v>
      </c>
      <c r="H35" s="127">
        <v>91</v>
      </c>
      <c r="I35" s="127">
        <v>80</v>
      </c>
      <c r="J35" s="127">
        <f>J4</f>
        <v>122</v>
      </c>
      <c r="K35" s="127">
        <f t="shared" ref="K35:AK35" si="10">K4</f>
        <v>127</v>
      </c>
      <c r="L35" s="127">
        <f t="shared" si="10"/>
        <v>129</v>
      </c>
      <c r="M35" s="127">
        <f t="shared" si="10"/>
        <v>131</v>
      </c>
      <c r="N35" s="127">
        <f t="shared" si="10"/>
        <v>140</v>
      </c>
      <c r="O35" s="127">
        <f t="shared" si="10"/>
        <v>141</v>
      </c>
      <c r="P35" s="127">
        <f t="shared" si="10"/>
        <v>141</v>
      </c>
      <c r="Q35" s="127">
        <f t="shared" si="10"/>
        <v>141</v>
      </c>
      <c r="R35" s="127">
        <f t="shared" si="10"/>
        <v>141</v>
      </c>
      <c r="S35" s="127">
        <f t="shared" si="10"/>
        <v>141</v>
      </c>
      <c r="T35" s="127">
        <f t="shared" si="10"/>
        <v>142</v>
      </c>
      <c r="U35" s="127">
        <f t="shared" si="10"/>
        <v>0</v>
      </c>
      <c r="V35" s="127">
        <f t="shared" si="10"/>
        <v>0</v>
      </c>
      <c r="W35" s="127">
        <f t="shared" si="10"/>
        <v>0</v>
      </c>
      <c r="X35" s="127">
        <f t="shared" si="10"/>
        <v>0</v>
      </c>
      <c r="Y35" s="127">
        <f t="shared" si="10"/>
        <v>0</v>
      </c>
      <c r="Z35" s="127">
        <f t="shared" si="10"/>
        <v>0</v>
      </c>
      <c r="AA35" s="127">
        <f t="shared" si="10"/>
        <v>0</v>
      </c>
      <c r="AB35" s="127">
        <f t="shared" si="10"/>
        <v>0</v>
      </c>
      <c r="AC35" s="127">
        <f t="shared" si="10"/>
        <v>0</v>
      </c>
      <c r="AD35" s="127">
        <f t="shared" si="10"/>
        <v>0</v>
      </c>
      <c r="AE35" s="127">
        <f t="shared" si="10"/>
        <v>0</v>
      </c>
      <c r="AF35" s="127">
        <f t="shared" si="10"/>
        <v>0</v>
      </c>
      <c r="AG35" s="127">
        <f t="shared" si="10"/>
        <v>0</v>
      </c>
      <c r="AH35" s="127">
        <f t="shared" si="10"/>
        <v>0</v>
      </c>
      <c r="AI35" s="127">
        <f t="shared" si="10"/>
        <v>0</v>
      </c>
      <c r="AJ35" s="127">
        <f t="shared" si="10"/>
        <v>0</v>
      </c>
      <c r="AK35" s="127">
        <f t="shared" si="10"/>
        <v>0</v>
      </c>
    </row>
    <row r="36" spans="1:37" s="187" customFormat="1" ht="24.95" customHeight="1">
      <c r="A36" s="175" t="s">
        <v>620</v>
      </c>
      <c r="B36" s="193" t="s">
        <v>645</v>
      </c>
      <c r="C36" s="175" t="s">
        <v>90</v>
      </c>
      <c r="D36" s="127">
        <f t="shared" ref="D36:I36" si="11">D38</f>
        <v>2743</v>
      </c>
      <c r="E36" s="127">
        <f t="shared" si="11"/>
        <v>2653</v>
      </c>
      <c r="F36" s="127">
        <f t="shared" si="11"/>
        <v>2659</v>
      </c>
      <c r="G36" s="127">
        <f t="shared" si="11"/>
        <v>2595</v>
      </c>
      <c r="H36" s="127">
        <f>H38</f>
        <v>2608</v>
      </c>
      <c r="I36" s="127">
        <f t="shared" si="11"/>
        <v>2632</v>
      </c>
      <c r="J36" s="127">
        <f t="shared" ref="J36:T36" si="12">J28*2</f>
        <v>2699.0322580645161</v>
      </c>
      <c r="K36" s="127">
        <f t="shared" si="12"/>
        <v>3112.8389716166134</v>
      </c>
      <c r="L36" s="127">
        <f t="shared" si="12"/>
        <v>3146.7717103936516</v>
      </c>
      <c r="M36" s="127">
        <f t="shared" si="12"/>
        <v>3155.315350075</v>
      </c>
      <c r="N36" s="127">
        <f t="shared" si="12"/>
        <v>3162.726644572308</v>
      </c>
      <c r="O36" s="127">
        <f t="shared" si="12"/>
        <v>3169.4278758787882</v>
      </c>
      <c r="P36" s="127">
        <f t="shared" si="12"/>
        <v>3178.9853695044771</v>
      </c>
      <c r="Q36" s="127">
        <f t="shared" si="12"/>
        <v>3184.5303990882353</v>
      </c>
      <c r="R36" s="127">
        <f t="shared" si="12"/>
        <v>3189.6560695768121</v>
      </c>
      <c r="S36" s="127">
        <f t="shared" si="12"/>
        <v>3196.1132463999998</v>
      </c>
      <c r="T36" s="127">
        <f t="shared" si="12"/>
        <v>3472.5515826285714</v>
      </c>
      <c r="U36" s="186" t="s">
        <v>255</v>
      </c>
    </row>
    <row r="37" spans="1:37" s="187" customFormat="1" ht="24.95" customHeight="1">
      <c r="A37" s="174"/>
      <c r="B37" s="193" t="s">
        <v>30</v>
      </c>
      <c r="C37" s="175"/>
      <c r="D37" s="96">
        <f t="shared" ref="D37:T37" si="13">D36/D29</f>
        <v>97.256390207075057</v>
      </c>
      <c r="E37" s="96">
        <f t="shared" si="13"/>
        <v>92.720980672084337</v>
      </c>
      <c r="F37" s="96">
        <f t="shared" si="13"/>
        <v>93.727594922797962</v>
      </c>
      <c r="G37" s="96">
        <f t="shared" si="13"/>
        <v>89.28249791031898</v>
      </c>
      <c r="H37" s="96">
        <f t="shared" si="13"/>
        <v>86.727775821301009</v>
      </c>
      <c r="I37" s="96">
        <f t="shared" si="13"/>
        <v>85.720207253886016</v>
      </c>
      <c r="J37" s="96">
        <f t="shared" si="13"/>
        <v>87.065556711758589</v>
      </c>
      <c r="K37" s="96">
        <f t="shared" si="13"/>
        <v>99.451724332799145</v>
      </c>
      <c r="L37" s="96">
        <f t="shared" si="13"/>
        <v>99.897514615671483</v>
      </c>
      <c r="M37" s="96">
        <f t="shared" si="13"/>
        <v>98.603604689843749</v>
      </c>
      <c r="N37" s="96">
        <f t="shared" si="13"/>
        <v>97.314665986840254</v>
      </c>
      <c r="O37" s="96">
        <f t="shared" si="13"/>
        <v>96.043268966023888</v>
      </c>
      <c r="P37" s="96">
        <f t="shared" si="13"/>
        <v>94.895085656850071</v>
      </c>
      <c r="Q37" s="96">
        <f t="shared" si="13"/>
        <v>93.662658796712805</v>
      </c>
      <c r="R37" s="96">
        <f t="shared" si="13"/>
        <v>92.453799118168462</v>
      </c>
      <c r="S37" s="96">
        <f t="shared" si="13"/>
        <v>91.317521325714281</v>
      </c>
      <c r="T37" s="96">
        <f t="shared" si="13"/>
        <v>99.215759503673468</v>
      </c>
      <c r="U37" s="186"/>
    </row>
    <row r="38" spans="1:37" s="187" customFormat="1" ht="24.95" customHeight="1">
      <c r="A38" s="174"/>
      <c r="B38" s="193" t="s">
        <v>217</v>
      </c>
      <c r="C38" s="175" t="s">
        <v>90</v>
      </c>
      <c r="D38" s="95">
        <f t="shared" ref="D38:I38" si="14">SUM(D39:D42)</f>
        <v>2743</v>
      </c>
      <c r="E38" s="95">
        <f t="shared" si="14"/>
        <v>2653</v>
      </c>
      <c r="F38" s="95">
        <f t="shared" si="14"/>
        <v>2659</v>
      </c>
      <c r="G38" s="95">
        <f t="shared" si="14"/>
        <v>2595</v>
      </c>
      <c r="H38" s="95">
        <f t="shared" si="14"/>
        <v>2608</v>
      </c>
      <c r="I38" s="95">
        <f t="shared" si="14"/>
        <v>2632</v>
      </c>
      <c r="J38" s="95">
        <f>J36</f>
        <v>2699.0322580645161</v>
      </c>
      <c r="K38" s="95">
        <f t="shared" ref="K38:T38" si="15">K36</f>
        <v>3112.8389716166134</v>
      </c>
      <c r="L38" s="95">
        <f t="shared" si="15"/>
        <v>3146.7717103936516</v>
      </c>
      <c r="M38" s="95">
        <f t="shared" si="15"/>
        <v>3155.315350075</v>
      </c>
      <c r="N38" s="95">
        <f t="shared" si="15"/>
        <v>3162.726644572308</v>
      </c>
      <c r="O38" s="95">
        <f t="shared" si="15"/>
        <v>3169.4278758787882</v>
      </c>
      <c r="P38" s="95">
        <f t="shared" si="15"/>
        <v>3178.9853695044771</v>
      </c>
      <c r="Q38" s="95">
        <f t="shared" si="15"/>
        <v>3184.5303990882353</v>
      </c>
      <c r="R38" s="95">
        <f t="shared" si="15"/>
        <v>3189.6560695768121</v>
      </c>
      <c r="S38" s="95">
        <f t="shared" si="15"/>
        <v>3196.1132463999998</v>
      </c>
      <c r="T38" s="95">
        <f t="shared" si="15"/>
        <v>3472.5515826285714</v>
      </c>
      <c r="U38" s="186"/>
    </row>
    <row r="39" spans="1:37" s="187" customFormat="1" ht="24.95" customHeight="1">
      <c r="A39" s="174"/>
      <c r="B39" s="275" t="s">
        <v>619</v>
      </c>
      <c r="C39" s="175" t="s">
        <v>90</v>
      </c>
      <c r="D39" s="94"/>
      <c r="E39" s="94"/>
      <c r="F39" s="94"/>
      <c r="G39" s="94"/>
      <c r="H39" s="94"/>
      <c r="I39" s="94"/>
      <c r="J39" s="94">
        <f>AA39*J$38</f>
        <v>0</v>
      </c>
      <c r="K39" s="94">
        <f t="shared" ref="K39:T42" si="16">AB39*K$38</f>
        <v>31.128389716166136</v>
      </c>
      <c r="L39" s="94">
        <f t="shared" si="16"/>
        <v>62.93543420787303</v>
      </c>
      <c r="M39" s="94">
        <f t="shared" si="16"/>
        <v>63.106307001499999</v>
      </c>
      <c r="N39" s="94">
        <f t="shared" si="16"/>
        <v>94.881799337169241</v>
      </c>
      <c r="O39" s="94">
        <f t="shared" si="16"/>
        <v>95.082836276363636</v>
      </c>
      <c r="P39" s="94">
        <f t="shared" si="16"/>
        <v>95.369561085134308</v>
      </c>
      <c r="Q39" s="94">
        <f t="shared" si="16"/>
        <v>95.535911972647057</v>
      </c>
      <c r="R39" s="94">
        <f t="shared" si="16"/>
        <v>127.58624278307249</v>
      </c>
      <c r="S39" s="94">
        <f t="shared" si="16"/>
        <v>127.84452985599999</v>
      </c>
      <c r="T39" s="94">
        <f t="shared" si="16"/>
        <v>277.80412661028572</v>
      </c>
      <c r="U39" s="186"/>
      <c r="AB39" s="187">
        <v>0.01</v>
      </c>
      <c r="AC39" s="187">
        <v>0.02</v>
      </c>
      <c r="AD39" s="187">
        <v>0.02</v>
      </c>
      <c r="AE39" s="187">
        <v>0.03</v>
      </c>
      <c r="AF39" s="187">
        <v>0.03</v>
      </c>
      <c r="AG39" s="187">
        <v>0.03</v>
      </c>
      <c r="AH39" s="187">
        <v>0.03</v>
      </c>
      <c r="AI39" s="187">
        <v>0.04</v>
      </c>
      <c r="AJ39" s="187">
        <v>0.04</v>
      </c>
      <c r="AK39" s="187">
        <v>0.08</v>
      </c>
    </row>
    <row r="40" spans="1:37" s="187" customFormat="1" ht="24.95" customHeight="1">
      <c r="A40" s="174"/>
      <c r="B40" s="275" t="s">
        <v>616</v>
      </c>
      <c r="C40" s="175" t="s">
        <v>90</v>
      </c>
      <c r="D40" s="94">
        <v>1026</v>
      </c>
      <c r="E40" s="94">
        <v>1275</v>
      </c>
      <c r="F40" s="94">
        <v>1380</v>
      </c>
      <c r="G40" s="94">
        <v>1533</v>
      </c>
      <c r="H40" s="94">
        <v>1595</v>
      </c>
      <c r="I40" s="94">
        <v>1712</v>
      </c>
      <c r="J40" s="94">
        <f>AA40*J$38</f>
        <v>1863.5628198843026</v>
      </c>
      <c r="K40" s="94">
        <f t="shared" si="16"/>
        <v>2273.7916767747861</v>
      </c>
      <c r="L40" s="94">
        <f t="shared" si="16"/>
        <v>2423.0142170031118</v>
      </c>
      <c r="M40" s="94">
        <f t="shared" si="16"/>
        <v>2555.8054335607503</v>
      </c>
      <c r="N40" s="94">
        <f t="shared" si="16"/>
        <v>2688.3176478864616</v>
      </c>
      <c r="O40" s="94">
        <f t="shared" si="16"/>
        <v>2820.7908095321213</v>
      </c>
      <c r="P40" s="94">
        <f t="shared" si="16"/>
        <v>2956.4563936391637</v>
      </c>
      <c r="Q40" s="94">
        <f t="shared" si="16"/>
        <v>3088.9944871155881</v>
      </c>
      <c r="R40" s="94">
        <f t="shared" si="16"/>
        <v>3062.0698267937396</v>
      </c>
      <c r="S40" s="94">
        <f t="shared" si="16"/>
        <v>3068.2687165439997</v>
      </c>
      <c r="T40" s="94">
        <f t="shared" si="16"/>
        <v>3194.7474560182859</v>
      </c>
      <c r="U40" s="194">
        <v>0.37404301859278161</v>
      </c>
      <c r="V40" s="195">
        <v>0.48058801356954389</v>
      </c>
      <c r="W40" s="195">
        <v>0.51899210229409554</v>
      </c>
      <c r="X40" s="195">
        <v>0.59075144508670518</v>
      </c>
      <c r="Y40" s="195">
        <v>0.61157975460122704</v>
      </c>
      <c r="Z40" s="195">
        <v>0.65045592705167177</v>
      </c>
      <c r="AA40" s="195">
        <v>0.6904559270516718</v>
      </c>
      <c r="AB40" s="195">
        <v>0.73045592705167184</v>
      </c>
      <c r="AC40" s="195">
        <v>0.77</v>
      </c>
      <c r="AD40" s="195">
        <v>0.81</v>
      </c>
      <c r="AE40" s="195">
        <v>0.85</v>
      </c>
      <c r="AF40" s="195">
        <v>0.89</v>
      </c>
      <c r="AG40" s="187">
        <v>0.93</v>
      </c>
      <c r="AH40" s="187">
        <v>0.97</v>
      </c>
      <c r="AI40" s="187">
        <v>0.96</v>
      </c>
      <c r="AJ40" s="187">
        <v>0.96</v>
      </c>
      <c r="AK40" s="187">
        <v>0.92</v>
      </c>
    </row>
    <row r="41" spans="1:37" s="187" customFormat="1" ht="24.95" customHeight="1">
      <c r="A41" s="174"/>
      <c r="B41" s="275" t="s">
        <v>617</v>
      </c>
      <c r="C41" s="175" t="s">
        <v>90</v>
      </c>
      <c r="D41" s="94">
        <v>1457</v>
      </c>
      <c r="E41" s="94">
        <v>1184</v>
      </c>
      <c r="F41" s="94">
        <v>1095</v>
      </c>
      <c r="G41" s="94">
        <v>958</v>
      </c>
      <c r="H41" s="94">
        <v>909</v>
      </c>
      <c r="I41" s="94">
        <v>840</v>
      </c>
      <c r="J41" s="94">
        <f>AA41*J$38</f>
        <v>780.42230610844194</v>
      </c>
      <c r="K41" s="94">
        <f t="shared" si="16"/>
        <v>775.56051824745828</v>
      </c>
      <c r="L41" s="94">
        <f t="shared" si="16"/>
        <v>660.82205918266686</v>
      </c>
      <c r="M41" s="94">
        <f t="shared" si="16"/>
        <v>536.40360951274999</v>
      </c>
      <c r="N41" s="94">
        <f t="shared" si="16"/>
        <v>379.52719734867696</v>
      </c>
      <c r="O41" s="94">
        <f t="shared" si="16"/>
        <v>253.55423007030305</v>
      </c>
      <c r="P41" s="94">
        <f t="shared" si="16"/>
        <v>127.15941478017909</v>
      </c>
      <c r="Q41" s="94">
        <f t="shared" si="16"/>
        <v>0</v>
      </c>
      <c r="R41" s="94">
        <f t="shared" si="16"/>
        <v>0</v>
      </c>
      <c r="S41" s="94">
        <f t="shared" si="16"/>
        <v>0</v>
      </c>
      <c r="T41" s="94">
        <f t="shared" si="16"/>
        <v>0</v>
      </c>
      <c r="U41" s="194">
        <v>0.53117025154939845</v>
      </c>
      <c r="V41" s="195">
        <v>0.44628722201281568</v>
      </c>
      <c r="W41" s="195">
        <v>0.41180895073335838</v>
      </c>
      <c r="X41" s="195">
        <v>0.36917148362235069</v>
      </c>
      <c r="Y41" s="195">
        <v>0.34854294478527609</v>
      </c>
      <c r="Z41" s="195">
        <v>0.31914893617021278</v>
      </c>
      <c r="AA41" s="195">
        <v>0.28914893617021276</v>
      </c>
      <c r="AB41" s="195">
        <v>0.24914893617021275</v>
      </c>
      <c r="AC41" s="195">
        <v>0.21</v>
      </c>
      <c r="AD41" s="195">
        <v>0.17</v>
      </c>
      <c r="AE41" s="195">
        <v>0.12</v>
      </c>
      <c r="AF41" s="195">
        <v>0.08</v>
      </c>
      <c r="AG41" s="187">
        <v>0.04</v>
      </c>
    </row>
    <row r="42" spans="1:37" s="187" customFormat="1" ht="24.95" customHeight="1">
      <c r="A42" s="174"/>
      <c r="B42" s="275" t="s">
        <v>618</v>
      </c>
      <c r="C42" s="175" t="s">
        <v>90</v>
      </c>
      <c r="D42" s="94">
        <v>260</v>
      </c>
      <c r="E42" s="94">
        <v>194</v>
      </c>
      <c r="F42" s="94">
        <v>184</v>
      </c>
      <c r="G42" s="94">
        <v>104</v>
      </c>
      <c r="H42" s="94">
        <v>104</v>
      </c>
      <c r="I42" s="94">
        <v>80</v>
      </c>
      <c r="J42" s="94">
        <f>AA42*J$38</f>
        <v>55.047132071771749</v>
      </c>
      <c r="K42" s="94">
        <f t="shared" si="16"/>
        <v>32.358386878203099</v>
      </c>
      <c r="L42" s="94">
        <f t="shared" si="16"/>
        <v>0</v>
      </c>
      <c r="M42" s="94">
        <f t="shared" si="16"/>
        <v>0</v>
      </c>
      <c r="N42" s="94">
        <f t="shared" si="16"/>
        <v>0</v>
      </c>
      <c r="O42" s="94">
        <f t="shared" si="16"/>
        <v>0</v>
      </c>
      <c r="P42" s="94">
        <f t="shared" si="16"/>
        <v>0</v>
      </c>
      <c r="Q42" s="94">
        <f t="shared" si="16"/>
        <v>0</v>
      </c>
      <c r="R42" s="94">
        <f t="shared" si="16"/>
        <v>0</v>
      </c>
      <c r="S42" s="94">
        <f t="shared" si="16"/>
        <v>0</v>
      </c>
      <c r="T42" s="94">
        <f t="shared" si="16"/>
        <v>0</v>
      </c>
      <c r="U42" s="194">
        <v>9.4786729857819899E-2</v>
      </c>
      <c r="V42" s="195">
        <v>7.3124764417640403E-2</v>
      </c>
      <c r="W42" s="195">
        <v>6.9198946972546069E-2</v>
      </c>
      <c r="X42" s="195">
        <v>4.0077071290944122E-2</v>
      </c>
      <c r="Y42" s="195">
        <v>3.9877300613496931E-2</v>
      </c>
      <c r="Z42" s="195">
        <v>3.0395136778115502E-2</v>
      </c>
      <c r="AA42" s="195">
        <v>2.0395136778115504E-2</v>
      </c>
      <c r="AB42" s="195">
        <v>1.0395136778115504E-2</v>
      </c>
      <c r="AC42" s="195"/>
      <c r="AD42" s="195"/>
      <c r="AE42" s="195"/>
      <c r="AF42" s="195"/>
    </row>
    <row r="43" spans="1:37" s="187" customFormat="1" ht="24.95" customHeight="1">
      <c r="A43" s="174"/>
      <c r="B43" s="193" t="s">
        <v>667</v>
      </c>
      <c r="C43" s="175" t="s">
        <v>90</v>
      </c>
      <c r="D43" s="95">
        <f t="shared" ref="D43:I43" si="17">SUM(D44:D51)</f>
        <v>2743</v>
      </c>
      <c r="E43" s="95">
        <f t="shared" si="17"/>
        <v>2653</v>
      </c>
      <c r="F43" s="95">
        <f t="shared" si="17"/>
        <v>2659</v>
      </c>
      <c r="G43" s="95">
        <f t="shared" si="17"/>
        <v>2595</v>
      </c>
      <c r="H43" s="95">
        <f t="shared" si="17"/>
        <v>2608</v>
      </c>
      <c r="I43" s="95">
        <f t="shared" si="17"/>
        <v>2632</v>
      </c>
      <c r="J43" s="95">
        <f>J36</f>
        <v>2699.0322580645161</v>
      </c>
      <c r="K43" s="95">
        <f t="shared" ref="K43:T43" si="18">K36</f>
        <v>3112.8389716166134</v>
      </c>
      <c r="L43" s="95">
        <f t="shared" si="18"/>
        <v>3146.7717103936516</v>
      </c>
      <c r="M43" s="95">
        <f t="shared" si="18"/>
        <v>3155.315350075</v>
      </c>
      <c r="N43" s="95">
        <f t="shared" si="18"/>
        <v>3162.726644572308</v>
      </c>
      <c r="O43" s="95">
        <f t="shared" si="18"/>
        <v>3169.4278758787882</v>
      </c>
      <c r="P43" s="95">
        <f t="shared" si="18"/>
        <v>3178.9853695044771</v>
      </c>
      <c r="Q43" s="95">
        <f t="shared" si="18"/>
        <v>3184.5303990882353</v>
      </c>
      <c r="R43" s="95">
        <f t="shared" si="18"/>
        <v>3189.6560695768121</v>
      </c>
      <c r="S43" s="95">
        <f t="shared" si="18"/>
        <v>3196.1132463999998</v>
      </c>
      <c r="T43" s="95">
        <f t="shared" si="18"/>
        <v>3472.5515826285714</v>
      </c>
      <c r="U43" s="186"/>
    </row>
    <row r="44" spans="1:37" s="187" customFormat="1" ht="24.95" customHeight="1">
      <c r="A44" s="174"/>
      <c r="B44" s="275" t="s">
        <v>668</v>
      </c>
      <c r="C44" s="175" t="s">
        <v>90</v>
      </c>
      <c r="D44" s="94">
        <v>767</v>
      </c>
      <c r="E44" s="94">
        <v>730</v>
      </c>
      <c r="F44" s="94">
        <v>739</v>
      </c>
      <c r="G44" s="94">
        <f>675+57</f>
        <v>732</v>
      </c>
      <c r="H44" s="94">
        <f>667+77</f>
        <v>744</v>
      </c>
      <c r="I44" s="94">
        <f>672+87</f>
        <v>759</v>
      </c>
      <c r="J44" s="94">
        <f>J$38*AA44</f>
        <v>778.33035101480539</v>
      </c>
      <c r="K44" s="94">
        <f t="shared" ref="K44:T51" si="19">K$38*AB44</f>
        <v>897.66139037120422</v>
      </c>
      <c r="L44" s="94">
        <f t="shared" si="19"/>
        <v>907.44670523889874</v>
      </c>
      <c r="M44" s="94">
        <f t="shared" si="19"/>
        <v>909.91046759381652</v>
      </c>
      <c r="N44" s="94">
        <f t="shared" si="19"/>
        <v>912.04769119695356</v>
      </c>
      <c r="O44" s="94">
        <f t="shared" si="19"/>
        <v>913.9801511367782</v>
      </c>
      <c r="P44" s="94">
        <f t="shared" si="19"/>
        <v>916.73628246728651</v>
      </c>
      <c r="Q44" s="94">
        <f t="shared" si="19"/>
        <v>918.33532405318033</v>
      </c>
      <c r="R44" s="94">
        <f t="shared" si="19"/>
        <v>919.81343343799404</v>
      </c>
      <c r="S44" s="94">
        <f t="shared" si="19"/>
        <v>921.67551444437686</v>
      </c>
      <c r="T44" s="94">
        <f t="shared" si="19"/>
        <v>1001.3931045650022</v>
      </c>
      <c r="U44" s="194">
        <v>0.27962085308056872</v>
      </c>
      <c r="V44" s="195">
        <v>0.27516019600452318</v>
      </c>
      <c r="W44" s="195">
        <v>0.27792403159082363</v>
      </c>
      <c r="X44" s="195">
        <v>0.28208092485549136</v>
      </c>
      <c r="Y44" s="195">
        <v>0.28527607361963192</v>
      </c>
      <c r="Z44" s="195">
        <v>0.28837386018237082</v>
      </c>
      <c r="AA44" s="195">
        <v>0.28837386018237082</v>
      </c>
      <c r="AB44" s="195">
        <v>0.28837386018237082</v>
      </c>
      <c r="AC44" s="195">
        <v>0.28837386018237082</v>
      </c>
      <c r="AD44" s="195">
        <v>0.28837386018237082</v>
      </c>
      <c r="AE44" s="195">
        <v>0.28837386018237082</v>
      </c>
      <c r="AF44" s="195">
        <v>0.28837386018237082</v>
      </c>
      <c r="AG44" s="195">
        <v>0.28837386018237082</v>
      </c>
      <c r="AH44" s="195">
        <v>0.28837386018237082</v>
      </c>
      <c r="AI44" s="195">
        <v>0.28837386018237082</v>
      </c>
      <c r="AJ44" s="195">
        <v>0.28837386018237082</v>
      </c>
      <c r="AK44" s="195">
        <v>0.28837386018237082</v>
      </c>
    </row>
    <row r="45" spans="1:37" s="187" customFormat="1" ht="24.95" customHeight="1">
      <c r="A45" s="174"/>
      <c r="B45" s="275" t="s">
        <v>256</v>
      </c>
      <c r="C45" s="175" t="s">
        <v>90</v>
      </c>
      <c r="D45" s="94">
        <v>770</v>
      </c>
      <c r="E45" s="94">
        <v>740</v>
      </c>
      <c r="F45" s="94">
        <v>715</v>
      </c>
      <c r="G45" s="94">
        <v>706</v>
      </c>
      <c r="H45" s="94">
        <v>686</v>
      </c>
      <c r="I45" s="94">
        <v>691</v>
      </c>
      <c r="J45" s="94">
        <f t="shared" ref="J45:J51" si="20">J$38*AA45</f>
        <v>708.59851456025103</v>
      </c>
      <c r="K45" s="94">
        <f t="shared" si="19"/>
        <v>817.23849900724929</v>
      </c>
      <c r="L45" s="94">
        <f t="shared" si="19"/>
        <v>826.1471321740172</v>
      </c>
      <c r="M45" s="94">
        <f t="shared" si="19"/>
        <v>828.39016219674204</v>
      </c>
      <c r="N45" s="94">
        <f t="shared" si="19"/>
        <v>830.33590858642287</v>
      </c>
      <c r="O45" s="94">
        <f t="shared" si="19"/>
        <v>832.09523641042654</v>
      </c>
      <c r="P45" s="94">
        <f t="shared" si="19"/>
        <v>834.60444161382748</v>
      </c>
      <c r="Q45" s="94">
        <f t="shared" si="19"/>
        <v>836.06022255697974</v>
      </c>
      <c r="R45" s="94">
        <f t="shared" si="19"/>
        <v>837.40590580455068</v>
      </c>
      <c r="S45" s="94">
        <f t="shared" si="19"/>
        <v>839.10116005410327</v>
      </c>
      <c r="T45" s="94">
        <f t="shared" si="19"/>
        <v>911.67672629040385</v>
      </c>
      <c r="U45" s="194">
        <v>0.28071454611738972</v>
      </c>
      <c r="V45" s="195">
        <v>0.27892951375800978</v>
      </c>
      <c r="W45" s="195">
        <v>0.26889808198570891</v>
      </c>
      <c r="X45" s="195">
        <v>0.27206165703275531</v>
      </c>
      <c r="Y45" s="195">
        <v>0.2630368098159509</v>
      </c>
      <c r="Z45" s="195">
        <v>0.26253799392097266</v>
      </c>
      <c r="AA45" s="195">
        <v>0.26253799392097266</v>
      </c>
      <c r="AB45" s="195">
        <v>0.26253799392097266</v>
      </c>
      <c r="AC45" s="195">
        <v>0.26253799392097266</v>
      </c>
      <c r="AD45" s="195">
        <v>0.26253799392097266</v>
      </c>
      <c r="AE45" s="195">
        <v>0.26253799392097266</v>
      </c>
      <c r="AF45" s="195">
        <v>0.26253799392097266</v>
      </c>
      <c r="AG45" s="195">
        <v>0.26253799392097266</v>
      </c>
      <c r="AH45" s="195">
        <v>0.26253799392097266</v>
      </c>
      <c r="AI45" s="195">
        <v>0.26253799392097266</v>
      </c>
      <c r="AJ45" s="195">
        <v>0.26253799392097266</v>
      </c>
      <c r="AK45" s="195">
        <v>0.26253799392097266</v>
      </c>
    </row>
    <row r="46" spans="1:37" s="187" customFormat="1" ht="24.95" customHeight="1">
      <c r="A46" s="174"/>
      <c r="B46" s="275" t="s">
        <v>257</v>
      </c>
      <c r="C46" s="175" t="s">
        <v>90</v>
      </c>
      <c r="D46" s="94">
        <v>506</v>
      </c>
      <c r="E46" s="94">
        <v>485</v>
      </c>
      <c r="F46" s="94">
        <v>510</v>
      </c>
      <c r="G46" s="94">
        <v>482</v>
      </c>
      <c r="H46" s="94">
        <v>495</v>
      </c>
      <c r="I46" s="94">
        <v>500</v>
      </c>
      <c r="J46" s="94">
        <f t="shared" si="20"/>
        <v>512.73409157760568</v>
      </c>
      <c r="K46" s="94">
        <f t="shared" si="19"/>
        <v>591.34478944084606</v>
      </c>
      <c r="L46" s="94">
        <f t="shared" si="19"/>
        <v>597.79097841824694</v>
      </c>
      <c r="M46" s="94">
        <f t="shared" si="19"/>
        <v>599.41401027260645</v>
      </c>
      <c r="N46" s="94">
        <f t="shared" si="19"/>
        <v>600.82193095978505</v>
      </c>
      <c r="O46" s="94">
        <f t="shared" si="19"/>
        <v>602.0949612231741</v>
      </c>
      <c r="P46" s="94">
        <f t="shared" si="19"/>
        <v>603.91059451072897</v>
      </c>
      <c r="Q46" s="94">
        <f t="shared" si="19"/>
        <v>604.96398158971044</v>
      </c>
      <c r="R46" s="94">
        <f t="shared" si="19"/>
        <v>605.93770318708437</v>
      </c>
      <c r="S46" s="94">
        <f t="shared" si="19"/>
        <v>607.16437051671733</v>
      </c>
      <c r="T46" s="94">
        <f t="shared" si="19"/>
        <v>659.67925201910555</v>
      </c>
      <c r="U46" s="194">
        <v>0.18446955887714181</v>
      </c>
      <c r="V46" s="195">
        <v>0.18281191104410102</v>
      </c>
      <c r="W46" s="195">
        <v>0.19180142910868747</v>
      </c>
      <c r="X46" s="195">
        <v>0.1857418111753372</v>
      </c>
      <c r="Y46" s="195">
        <v>0.1898006134969325</v>
      </c>
      <c r="Z46" s="195">
        <v>0.1899696048632219</v>
      </c>
      <c r="AA46" s="195">
        <v>0.1899696048632219</v>
      </c>
      <c r="AB46" s="195">
        <v>0.1899696048632219</v>
      </c>
      <c r="AC46" s="195">
        <v>0.1899696048632219</v>
      </c>
      <c r="AD46" s="195">
        <v>0.1899696048632219</v>
      </c>
      <c r="AE46" s="195">
        <v>0.1899696048632219</v>
      </c>
      <c r="AF46" s="195">
        <v>0.1899696048632219</v>
      </c>
      <c r="AG46" s="195">
        <v>0.1899696048632219</v>
      </c>
      <c r="AH46" s="195">
        <v>0.1899696048632219</v>
      </c>
      <c r="AI46" s="195">
        <v>0.1899696048632219</v>
      </c>
      <c r="AJ46" s="195">
        <v>0.1899696048632219</v>
      </c>
      <c r="AK46" s="195">
        <v>0.1899696048632219</v>
      </c>
    </row>
    <row r="47" spans="1:37" s="187" customFormat="1" ht="24.95" customHeight="1">
      <c r="A47" s="174"/>
      <c r="B47" s="275" t="s">
        <v>258</v>
      </c>
      <c r="C47" s="175" t="s">
        <v>90</v>
      </c>
      <c r="D47" s="94">
        <v>236</v>
      </c>
      <c r="E47" s="94">
        <v>230</v>
      </c>
      <c r="F47" s="94">
        <v>229</v>
      </c>
      <c r="G47" s="94">
        <v>235</v>
      </c>
      <c r="H47" s="94">
        <v>236</v>
      </c>
      <c r="I47" s="94">
        <v>242</v>
      </c>
      <c r="J47" s="94">
        <f t="shared" si="20"/>
        <v>248.16330032356115</v>
      </c>
      <c r="K47" s="94">
        <f t="shared" si="19"/>
        <v>286.21087808936949</v>
      </c>
      <c r="L47" s="94">
        <f t="shared" si="19"/>
        <v>289.33083355443154</v>
      </c>
      <c r="M47" s="94">
        <f t="shared" si="19"/>
        <v>290.11638097194151</v>
      </c>
      <c r="N47" s="94">
        <f t="shared" si="19"/>
        <v>290.79781458453596</v>
      </c>
      <c r="O47" s="94">
        <f t="shared" si="19"/>
        <v>291.41396123201628</v>
      </c>
      <c r="P47" s="94">
        <f t="shared" si="19"/>
        <v>292.29272774319281</v>
      </c>
      <c r="Q47" s="94">
        <f t="shared" si="19"/>
        <v>292.80256708941982</v>
      </c>
      <c r="R47" s="94">
        <f t="shared" si="19"/>
        <v>293.27384834254883</v>
      </c>
      <c r="S47" s="94">
        <f t="shared" si="19"/>
        <v>293.86755533009119</v>
      </c>
      <c r="T47" s="94">
        <f t="shared" si="19"/>
        <v>319.28475797724707</v>
      </c>
      <c r="U47" s="194">
        <v>8.6037185563251919E-2</v>
      </c>
      <c r="V47" s="195">
        <v>8.6694308330192232E-2</v>
      </c>
      <c r="W47" s="195">
        <v>8.6122602482136143E-2</v>
      </c>
      <c r="X47" s="195">
        <v>9.05587668593449E-2</v>
      </c>
      <c r="Y47" s="195">
        <v>9.0490797546012275E-2</v>
      </c>
      <c r="Z47" s="195">
        <v>9.1945288753799398E-2</v>
      </c>
      <c r="AA47" s="195">
        <v>9.1945288753799398E-2</v>
      </c>
      <c r="AB47" s="195">
        <v>9.1945288753799398E-2</v>
      </c>
      <c r="AC47" s="195">
        <v>9.1945288753799398E-2</v>
      </c>
      <c r="AD47" s="195">
        <v>9.1945288753799398E-2</v>
      </c>
      <c r="AE47" s="195">
        <v>9.1945288753799398E-2</v>
      </c>
      <c r="AF47" s="195">
        <v>9.1945288753799398E-2</v>
      </c>
      <c r="AG47" s="195">
        <v>9.1945288753799398E-2</v>
      </c>
      <c r="AH47" s="195">
        <v>9.1945288753799398E-2</v>
      </c>
      <c r="AI47" s="195">
        <v>9.1945288753799398E-2</v>
      </c>
      <c r="AJ47" s="195">
        <v>9.1945288753799398E-2</v>
      </c>
      <c r="AK47" s="195">
        <v>9.1945288753799398E-2</v>
      </c>
    </row>
    <row r="48" spans="1:37" s="187" customFormat="1" ht="24.95" customHeight="1">
      <c r="A48" s="174"/>
      <c r="B48" s="275" t="s">
        <v>259</v>
      </c>
      <c r="C48" s="175" t="s">
        <v>90</v>
      </c>
      <c r="D48" s="94">
        <v>180</v>
      </c>
      <c r="E48" s="94">
        <v>186</v>
      </c>
      <c r="F48" s="94">
        <v>189</v>
      </c>
      <c r="G48" s="94">
        <v>194</v>
      </c>
      <c r="H48" s="94">
        <v>196</v>
      </c>
      <c r="I48" s="94">
        <v>191</v>
      </c>
      <c r="J48" s="94">
        <f t="shared" si="20"/>
        <v>195.86442298264535</v>
      </c>
      <c r="K48" s="94">
        <f t="shared" si="19"/>
        <v>225.89370956640317</v>
      </c>
      <c r="L48" s="94">
        <f t="shared" si="19"/>
        <v>228.35615375577029</v>
      </c>
      <c r="M48" s="94">
        <f t="shared" si="19"/>
        <v>228.97615192413562</v>
      </c>
      <c r="N48" s="94">
        <f t="shared" si="19"/>
        <v>229.51397762663785</v>
      </c>
      <c r="O48" s="94">
        <f t="shared" si="19"/>
        <v>230.0002751872525</v>
      </c>
      <c r="P48" s="94">
        <f t="shared" si="19"/>
        <v>230.69384710309845</v>
      </c>
      <c r="Q48" s="94">
        <f t="shared" si="19"/>
        <v>231.09624096726935</v>
      </c>
      <c r="R48" s="94">
        <f t="shared" si="19"/>
        <v>231.46820261746623</v>
      </c>
      <c r="S48" s="94">
        <f t="shared" si="19"/>
        <v>231.93678953738601</v>
      </c>
      <c r="T48" s="94">
        <f t="shared" si="19"/>
        <v>251.9974742712983</v>
      </c>
      <c r="U48" s="194">
        <v>6.562158220925994E-2</v>
      </c>
      <c r="V48" s="195">
        <v>7.0109310214851117E-2</v>
      </c>
      <c r="W48" s="195">
        <v>7.1079353140278301E-2</v>
      </c>
      <c r="X48" s="195">
        <v>7.475915221579961E-2</v>
      </c>
      <c r="Y48" s="195">
        <v>7.5153374233128831E-2</v>
      </c>
      <c r="Z48" s="195">
        <v>7.256838905775076E-2</v>
      </c>
      <c r="AA48" s="195">
        <v>7.256838905775076E-2</v>
      </c>
      <c r="AB48" s="195">
        <v>7.256838905775076E-2</v>
      </c>
      <c r="AC48" s="195">
        <v>7.256838905775076E-2</v>
      </c>
      <c r="AD48" s="195">
        <v>7.256838905775076E-2</v>
      </c>
      <c r="AE48" s="195">
        <v>7.256838905775076E-2</v>
      </c>
      <c r="AF48" s="195">
        <v>7.256838905775076E-2</v>
      </c>
      <c r="AG48" s="195">
        <v>7.256838905775076E-2</v>
      </c>
      <c r="AH48" s="195">
        <v>7.256838905775076E-2</v>
      </c>
      <c r="AI48" s="195">
        <v>7.256838905775076E-2</v>
      </c>
      <c r="AJ48" s="195">
        <v>7.256838905775076E-2</v>
      </c>
      <c r="AK48" s="195">
        <v>7.256838905775076E-2</v>
      </c>
    </row>
    <row r="49" spans="1:37" s="187" customFormat="1" ht="24.95" customHeight="1">
      <c r="A49" s="174"/>
      <c r="B49" s="275" t="s">
        <v>260</v>
      </c>
      <c r="C49" s="175" t="s">
        <v>90</v>
      </c>
      <c r="D49" s="94">
        <v>128</v>
      </c>
      <c r="E49" s="94">
        <v>106</v>
      </c>
      <c r="F49" s="94">
        <v>102</v>
      </c>
      <c r="G49" s="94">
        <v>97</v>
      </c>
      <c r="H49" s="94">
        <v>97</v>
      </c>
      <c r="I49" s="94">
        <v>100</v>
      </c>
      <c r="J49" s="94">
        <f t="shared" si="20"/>
        <v>102.54681831552112</v>
      </c>
      <c r="K49" s="94">
        <f t="shared" si="19"/>
        <v>118.2689578881692</v>
      </c>
      <c r="L49" s="94">
        <f t="shared" si="19"/>
        <v>119.55819568364937</v>
      </c>
      <c r="M49" s="94">
        <f t="shared" si="19"/>
        <v>119.88280205452126</v>
      </c>
      <c r="N49" s="94">
        <f t="shared" si="19"/>
        <v>120.16438619195699</v>
      </c>
      <c r="O49" s="94">
        <f t="shared" si="19"/>
        <v>120.41899224463481</v>
      </c>
      <c r="P49" s="94">
        <f t="shared" si="19"/>
        <v>120.78211890214578</v>
      </c>
      <c r="Q49" s="94">
        <f t="shared" si="19"/>
        <v>120.99279631794207</v>
      </c>
      <c r="R49" s="94">
        <f t="shared" si="19"/>
        <v>121.18754063741687</v>
      </c>
      <c r="S49" s="94">
        <f t="shared" si="19"/>
        <v>121.43287410334345</v>
      </c>
      <c r="T49" s="94">
        <f t="shared" si="19"/>
        <v>131.93585040382109</v>
      </c>
      <c r="U49" s="194">
        <v>4.6664236237695951E-2</v>
      </c>
      <c r="V49" s="195">
        <v>3.9954768186958159E-2</v>
      </c>
      <c r="W49" s="195">
        <v>3.8360285821737498E-2</v>
      </c>
      <c r="X49" s="195">
        <v>3.7379576107899805E-2</v>
      </c>
      <c r="Y49" s="195">
        <v>3.7193251533742332E-2</v>
      </c>
      <c r="Z49" s="195">
        <v>3.7993920972644375E-2</v>
      </c>
      <c r="AA49" s="195">
        <v>3.7993920972644375E-2</v>
      </c>
      <c r="AB49" s="195">
        <v>3.7993920972644375E-2</v>
      </c>
      <c r="AC49" s="195">
        <v>3.7993920972644375E-2</v>
      </c>
      <c r="AD49" s="195">
        <v>3.7993920972644375E-2</v>
      </c>
      <c r="AE49" s="195">
        <v>3.7993920972644375E-2</v>
      </c>
      <c r="AF49" s="195">
        <v>3.7993920972644375E-2</v>
      </c>
      <c r="AG49" s="195">
        <v>3.7993920972644375E-2</v>
      </c>
      <c r="AH49" s="195">
        <v>3.7993920972644375E-2</v>
      </c>
      <c r="AI49" s="195">
        <v>3.7993920972644375E-2</v>
      </c>
      <c r="AJ49" s="195">
        <v>3.7993920972644375E-2</v>
      </c>
      <c r="AK49" s="195">
        <v>3.7993920972644375E-2</v>
      </c>
    </row>
    <row r="50" spans="1:37" s="187" customFormat="1" ht="24.95" customHeight="1">
      <c r="A50" s="174"/>
      <c r="B50" s="275" t="s">
        <v>261</v>
      </c>
      <c r="C50" s="175" t="s">
        <v>90</v>
      </c>
      <c r="D50" s="94">
        <v>65</v>
      </c>
      <c r="E50" s="94">
        <v>82</v>
      </c>
      <c r="F50" s="94">
        <v>83</v>
      </c>
      <c r="G50" s="94">
        <v>79</v>
      </c>
      <c r="H50" s="94">
        <v>86</v>
      </c>
      <c r="I50" s="94">
        <v>86</v>
      </c>
      <c r="J50" s="94">
        <f t="shared" si="20"/>
        <v>88.190263751348169</v>
      </c>
      <c r="K50" s="94">
        <f t="shared" si="19"/>
        <v>101.71130378382551</v>
      </c>
      <c r="L50" s="94">
        <f t="shared" si="19"/>
        <v>102.82004828793846</v>
      </c>
      <c r="M50" s="94">
        <f t="shared" si="19"/>
        <v>103.09920976688829</v>
      </c>
      <c r="N50" s="94">
        <f t="shared" si="19"/>
        <v>103.34137212508301</v>
      </c>
      <c r="O50" s="94">
        <f t="shared" si="19"/>
        <v>103.56033333038593</v>
      </c>
      <c r="P50" s="94">
        <f t="shared" si="19"/>
        <v>103.87262225584537</v>
      </c>
      <c r="Q50" s="94">
        <f t="shared" si="19"/>
        <v>104.05380483343018</v>
      </c>
      <c r="R50" s="94">
        <f t="shared" si="19"/>
        <v>104.22128494817851</v>
      </c>
      <c r="S50" s="94">
        <f t="shared" si="19"/>
        <v>104.43227172887536</v>
      </c>
      <c r="T50" s="94">
        <f t="shared" si="19"/>
        <v>113.46483134728614</v>
      </c>
      <c r="U50" s="194">
        <v>2.3696682464454975E-2</v>
      </c>
      <c r="V50" s="195">
        <v>3.0908405578590276E-2</v>
      </c>
      <c r="W50" s="195">
        <v>3.121474238435502E-2</v>
      </c>
      <c r="X50" s="195">
        <v>3.044315992292871E-2</v>
      </c>
      <c r="Y50" s="195">
        <v>3.2975460122699383E-2</v>
      </c>
      <c r="Z50" s="195">
        <v>3.2674772036474162E-2</v>
      </c>
      <c r="AA50" s="195">
        <v>3.2674772036474162E-2</v>
      </c>
      <c r="AB50" s="195">
        <v>3.2674772036474162E-2</v>
      </c>
      <c r="AC50" s="195">
        <v>3.2674772036474162E-2</v>
      </c>
      <c r="AD50" s="195">
        <v>3.2674772036474162E-2</v>
      </c>
      <c r="AE50" s="195">
        <v>3.2674772036474162E-2</v>
      </c>
      <c r="AF50" s="195">
        <v>3.2674772036474162E-2</v>
      </c>
      <c r="AG50" s="195">
        <v>3.2674772036474162E-2</v>
      </c>
      <c r="AH50" s="195">
        <v>3.2674772036474162E-2</v>
      </c>
      <c r="AI50" s="195">
        <v>3.2674772036474162E-2</v>
      </c>
      <c r="AJ50" s="195">
        <v>3.2674772036474162E-2</v>
      </c>
      <c r="AK50" s="195">
        <v>3.2674772036474162E-2</v>
      </c>
    </row>
    <row r="51" spans="1:37" s="187" customFormat="1" ht="24.95" customHeight="1">
      <c r="A51" s="174"/>
      <c r="B51" s="275" t="s">
        <v>262</v>
      </c>
      <c r="C51" s="175" t="s">
        <v>90</v>
      </c>
      <c r="D51" s="94">
        <v>91</v>
      </c>
      <c r="E51" s="94">
        <v>94</v>
      </c>
      <c r="F51" s="94">
        <v>92</v>
      </c>
      <c r="G51" s="94">
        <v>70</v>
      </c>
      <c r="H51" s="94">
        <v>68</v>
      </c>
      <c r="I51" s="94">
        <v>63</v>
      </c>
      <c r="J51" s="94">
        <f t="shared" si="20"/>
        <v>64.604495538778309</v>
      </c>
      <c r="K51" s="94">
        <f t="shared" si="19"/>
        <v>74.509443469546596</v>
      </c>
      <c r="L51" s="94">
        <f t="shared" si="19"/>
        <v>75.321663280699113</v>
      </c>
      <c r="M51" s="94">
        <f t="shared" si="19"/>
        <v>75.526165294348402</v>
      </c>
      <c r="N51" s="94">
        <f t="shared" si="19"/>
        <v>75.703563300932899</v>
      </c>
      <c r="O51" s="94">
        <f t="shared" si="19"/>
        <v>75.863965114119935</v>
      </c>
      <c r="P51" s="94">
        <f t="shared" si="19"/>
        <v>76.092734908351844</v>
      </c>
      <c r="Q51" s="94">
        <f t="shared" si="19"/>
        <v>76.225461680303511</v>
      </c>
      <c r="R51" s="94">
        <f t="shared" si="19"/>
        <v>76.348150601572627</v>
      </c>
      <c r="S51" s="94">
        <f t="shared" si="19"/>
        <v>76.502710685106379</v>
      </c>
      <c r="T51" s="94">
        <f t="shared" si="19"/>
        <v>83.119585754407296</v>
      </c>
      <c r="U51" s="194">
        <v>3.3175355450236969E-2</v>
      </c>
      <c r="V51" s="195">
        <v>3.5431586882774216E-2</v>
      </c>
      <c r="W51" s="195">
        <v>3.4599473486273034E-2</v>
      </c>
      <c r="X51" s="195">
        <v>2.6974951830443159E-2</v>
      </c>
      <c r="Y51" s="195">
        <v>2.6073619631901839E-2</v>
      </c>
      <c r="Z51" s="195">
        <v>2.3936170212765957E-2</v>
      </c>
      <c r="AA51" s="195">
        <v>2.3936170212765957E-2</v>
      </c>
      <c r="AB51" s="195">
        <v>2.3936170212765957E-2</v>
      </c>
      <c r="AC51" s="195">
        <v>2.3936170212765957E-2</v>
      </c>
      <c r="AD51" s="195">
        <v>2.3936170212765957E-2</v>
      </c>
      <c r="AE51" s="195">
        <v>2.3936170212765957E-2</v>
      </c>
      <c r="AF51" s="195">
        <v>2.3936170212765957E-2</v>
      </c>
      <c r="AG51" s="195">
        <v>2.3936170212765957E-2</v>
      </c>
      <c r="AH51" s="195">
        <v>2.3936170212765957E-2</v>
      </c>
      <c r="AI51" s="195">
        <v>2.3936170212765957E-2</v>
      </c>
      <c r="AJ51" s="195">
        <v>2.3936170212765957E-2</v>
      </c>
      <c r="AK51" s="195">
        <v>2.3936170212765957E-2</v>
      </c>
    </row>
    <row r="52" spans="1:37" s="187" customFormat="1" ht="24.95" customHeight="1">
      <c r="A52" s="175" t="s">
        <v>637</v>
      </c>
      <c r="B52" s="193" t="s">
        <v>660</v>
      </c>
      <c r="C52" s="175" t="s">
        <v>90</v>
      </c>
      <c r="D52" s="127">
        <f t="shared" ref="D52:I52" si="21">SUM(D53:D59)</f>
        <v>451</v>
      </c>
      <c r="E52" s="127">
        <f t="shared" si="21"/>
        <v>460</v>
      </c>
      <c r="F52" s="127">
        <f t="shared" si="21"/>
        <v>556</v>
      </c>
      <c r="G52" s="127">
        <f t="shared" si="21"/>
        <v>697</v>
      </c>
      <c r="H52" s="127">
        <f t="shared" si="21"/>
        <v>689</v>
      </c>
      <c r="I52" s="127">
        <f t="shared" si="21"/>
        <v>717</v>
      </c>
      <c r="J52" s="127">
        <f t="shared" ref="J52:T52" si="22">7*J4</f>
        <v>854</v>
      </c>
      <c r="K52" s="127">
        <f t="shared" si="22"/>
        <v>889</v>
      </c>
      <c r="L52" s="127">
        <f t="shared" si="22"/>
        <v>903</v>
      </c>
      <c r="M52" s="127">
        <f t="shared" si="22"/>
        <v>917</v>
      </c>
      <c r="N52" s="127">
        <f t="shared" si="22"/>
        <v>980</v>
      </c>
      <c r="O52" s="127">
        <f t="shared" si="22"/>
        <v>987</v>
      </c>
      <c r="P52" s="127">
        <f t="shared" si="22"/>
        <v>987</v>
      </c>
      <c r="Q52" s="127">
        <f t="shared" si="22"/>
        <v>987</v>
      </c>
      <c r="R52" s="127">
        <f t="shared" si="22"/>
        <v>987</v>
      </c>
      <c r="S52" s="127">
        <f t="shared" si="22"/>
        <v>987</v>
      </c>
      <c r="T52" s="127">
        <f t="shared" si="22"/>
        <v>994</v>
      </c>
      <c r="U52" s="186" t="s">
        <v>263</v>
      </c>
    </row>
    <row r="53" spans="1:37" s="187" customFormat="1" ht="24.95" customHeight="1">
      <c r="A53" s="174"/>
      <c r="B53" s="275" t="s">
        <v>661</v>
      </c>
      <c r="C53" s="175" t="s">
        <v>90</v>
      </c>
      <c r="D53" s="125">
        <v>75</v>
      </c>
      <c r="E53" s="125">
        <v>76</v>
      </c>
      <c r="F53" s="125">
        <v>89</v>
      </c>
      <c r="G53" s="125">
        <v>114</v>
      </c>
      <c r="H53" s="125">
        <v>113</v>
      </c>
      <c r="I53" s="125">
        <v>115</v>
      </c>
      <c r="J53" s="127">
        <f t="shared" ref="J53:T59" si="23">J$52*AA53</f>
        <v>123.2245922208281</v>
      </c>
      <c r="K53" s="127">
        <f t="shared" si="23"/>
        <v>128.27478042659973</v>
      </c>
      <c r="L53" s="127">
        <f t="shared" si="23"/>
        <v>130.29485570890841</v>
      </c>
      <c r="M53" s="127">
        <f t="shared" si="23"/>
        <v>132.31493099121707</v>
      </c>
      <c r="N53" s="127">
        <f t="shared" si="23"/>
        <v>141.40526976160601</v>
      </c>
      <c r="O53" s="127">
        <f t="shared" si="23"/>
        <v>142.41530740276033</v>
      </c>
      <c r="P53" s="127">
        <f t="shared" si="23"/>
        <v>142.41530740276033</v>
      </c>
      <c r="Q53" s="127">
        <f t="shared" si="23"/>
        <v>142.41530740276033</v>
      </c>
      <c r="R53" s="127">
        <f t="shared" si="23"/>
        <v>142.41530740276033</v>
      </c>
      <c r="S53" s="127">
        <f t="shared" si="23"/>
        <v>142.41530740276033</v>
      </c>
      <c r="T53" s="127">
        <f t="shared" si="23"/>
        <v>143.42534504391469</v>
      </c>
      <c r="U53" s="194">
        <v>0.15337423312883436</v>
      </c>
      <c r="V53" s="195">
        <v>0.14872798434442269</v>
      </c>
      <c r="W53" s="195">
        <v>0.14217252396166133</v>
      </c>
      <c r="X53" s="195">
        <v>0.14430379746835442</v>
      </c>
      <c r="Y53" s="195">
        <v>0.14487179487179488</v>
      </c>
      <c r="Z53" s="195">
        <v>0.14429109159347553</v>
      </c>
      <c r="AA53" s="195">
        <v>0.14429109159347553</v>
      </c>
      <c r="AB53" s="195">
        <v>0.14429109159347553</v>
      </c>
      <c r="AC53" s="195">
        <v>0.14429109159347553</v>
      </c>
      <c r="AD53" s="195">
        <v>0.14429109159347553</v>
      </c>
      <c r="AE53" s="195">
        <v>0.14429109159347553</v>
      </c>
      <c r="AF53" s="195">
        <v>0.14429109159347553</v>
      </c>
      <c r="AG53" s="195">
        <v>0.14429109159347553</v>
      </c>
      <c r="AH53" s="195">
        <v>0.14429109159347553</v>
      </c>
      <c r="AI53" s="195">
        <v>0.14429109159347553</v>
      </c>
      <c r="AJ53" s="195">
        <v>0.14429109159347553</v>
      </c>
      <c r="AK53" s="195">
        <v>0.14429109159347553</v>
      </c>
    </row>
    <row r="54" spans="1:37" s="187" customFormat="1" ht="24.95" customHeight="1">
      <c r="A54" s="174"/>
      <c r="B54" s="275" t="s">
        <v>662</v>
      </c>
      <c r="C54" s="175" t="s">
        <v>90</v>
      </c>
      <c r="D54" s="125">
        <v>43</v>
      </c>
      <c r="E54" s="125">
        <v>48</v>
      </c>
      <c r="F54" s="125">
        <v>76</v>
      </c>
      <c r="G54" s="125">
        <v>79</v>
      </c>
      <c r="H54" s="125">
        <v>80</v>
      </c>
      <c r="I54" s="125">
        <v>94</v>
      </c>
      <c r="J54" s="127">
        <f t="shared" si="23"/>
        <v>100.72271016311167</v>
      </c>
      <c r="K54" s="127">
        <f t="shared" si="23"/>
        <v>104.85069008782936</v>
      </c>
      <c r="L54" s="127">
        <f t="shared" si="23"/>
        <v>106.50188205771644</v>
      </c>
      <c r="M54" s="127">
        <f t="shared" si="23"/>
        <v>108.15307402760352</v>
      </c>
      <c r="N54" s="127">
        <f t="shared" si="23"/>
        <v>115.58343789209536</v>
      </c>
      <c r="O54" s="127">
        <f t="shared" si="23"/>
        <v>116.40903387703891</v>
      </c>
      <c r="P54" s="127">
        <f t="shared" si="23"/>
        <v>116.40903387703891</v>
      </c>
      <c r="Q54" s="127">
        <f t="shared" si="23"/>
        <v>116.40903387703891</v>
      </c>
      <c r="R54" s="127">
        <f t="shared" si="23"/>
        <v>116.40903387703891</v>
      </c>
      <c r="S54" s="127">
        <f t="shared" si="23"/>
        <v>116.40903387703891</v>
      </c>
      <c r="T54" s="127">
        <f t="shared" si="23"/>
        <v>117.23462986198244</v>
      </c>
      <c r="U54" s="194">
        <v>8.7934560327198361E-2</v>
      </c>
      <c r="V54" s="195">
        <v>9.393346379647749E-2</v>
      </c>
      <c r="W54" s="195">
        <v>0.12140575079872204</v>
      </c>
      <c r="X54" s="195">
        <v>0.1</v>
      </c>
      <c r="Y54" s="195">
        <v>0.10256410256410256</v>
      </c>
      <c r="Z54" s="195">
        <v>0.11794228356336262</v>
      </c>
      <c r="AA54" s="195">
        <v>0.11794228356336262</v>
      </c>
      <c r="AB54" s="195">
        <v>0.11794228356336262</v>
      </c>
      <c r="AC54" s="195">
        <v>0.11794228356336262</v>
      </c>
      <c r="AD54" s="195">
        <v>0.11794228356336262</v>
      </c>
      <c r="AE54" s="195">
        <v>0.11794228356336262</v>
      </c>
      <c r="AF54" s="195">
        <v>0.11794228356336262</v>
      </c>
      <c r="AG54" s="195">
        <v>0.11794228356336262</v>
      </c>
      <c r="AH54" s="195">
        <v>0.11794228356336262</v>
      </c>
      <c r="AI54" s="195">
        <v>0.11794228356336262</v>
      </c>
      <c r="AJ54" s="195">
        <v>0.11794228356336262</v>
      </c>
      <c r="AK54" s="195">
        <v>0.11794228356336262</v>
      </c>
    </row>
    <row r="55" spans="1:37" s="187" customFormat="1" ht="24.95" customHeight="1">
      <c r="A55" s="174"/>
      <c r="B55" s="275" t="s">
        <v>663</v>
      </c>
      <c r="C55" s="175" t="s">
        <v>90</v>
      </c>
      <c r="D55" s="125">
        <v>72</v>
      </c>
      <c r="E55" s="125">
        <v>65</v>
      </c>
      <c r="F55" s="125">
        <v>71</v>
      </c>
      <c r="G55" s="125">
        <v>91</v>
      </c>
      <c r="H55" s="125">
        <v>88</v>
      </c>
      <c r="I55" s="125">
        <v>90</v>
      </c>
      <c r="J55" s="127">
        <f t="shared" si="23"/>
        <v>96.436637390213306</v>
      </c>
      <c r="K55" s="127">
        <f t="shared" si="23"/>
        <v>100.38895859473024</v>
      </c>
      <c r="L55" s="127">
        <f t="shared" si="23"/>
        <v>101.96988707653702</v>
      </c>
      <c r="M55" s="127">
        <f t="shared" si="23"/>
        <v>103.5508155583438</v>
      </c>
      <c r="N55" s="127">
        <f t="shared" si="23"/>
        <v>110.66499372647428</v>
      </c>
      <c r="O55" s="127">
        <f t="shared" si="23"/>
        <v>111.45545796737767</v>
      </c>
      <c r="P55" s="127">
        <f t="shared" si="23"/>
        <v>111.45545796737767</v>
      </c>
      <c r="Q55" s="127">
        <f t="shared" si="23"/>
        <v>111.45545796737767</v>
      </c>
      <c r="R55" s="127">
        <f t="shared" si="23"/>
        <v>111.45545796737767</v>
      </c>
      <c r="S55" s="127">
        <f t="shared" si="23"/>
        <v>111.45545796737767</v>
      </c>
      <c r="T55" s="127">
        <f t="shared" si="23"/>
        <v>112.24592220828106</v>
      </c>
      <c r="U55" s="194">
        <v>0.14723926380368099</v>
      </c>
      <c r="V55" s="195">
        <v>0.12720156555772993</v>
      </c>
      <c r="W55" s="195">
        <v>0.1134185303514377</v>
      </c>
      <c r="X55" s="195">
        <v>0.11518987341772152</v>
      </c>
      <c r="Y55" s="195">
        <v>0.11282051282051282</v>
      </c>
      <c r="Z55" s="195">
        <v>0.11292346298619825</v>
      </c>
      <c r="AA55" s="195">
        <v>0.11292346298619825</v>
      </c>
      <c r="AB55" s="195">
        <v>0.11292346298619825</v>
      </c>
      <c r="AC55" s="195">
        <v>0.11292346298619825</v>
      </c>
      <c r="AD55" s="195">
        <v>0.11292346298619825</v>
      </c>
      <c r="AE55" s="195">
        <v>0.11292346298619825</v>
      </c>
      <c r="AF55" s="195">
        <v>0.11292346298619825</v>
      </c>
      <c r="AG55" s="195">
        <v>0.11292346298619825</v>
      </c>
      <c r="AH55" s="195">
        <v>0.11292346298619825</v>
      </c>
      <c r="AI55" s="195">
        <v>0.11292346298619825</v>
      </c>
      <c r="AJ55" s="195">
        <v>0.11292346298619825</v>
      </c>
      <c r="AK55" s="195">
        <v>0.11292346298619825</v>
      </c>
    </row>
    <row r="56" spans="1:37" s="187" customFormat="1" ht="24.95" customHeight="1">
      <c r="A56" s="174"/>
      <c r="B56" s="275" t="s">
        <v>664</v>
      </c>
      <c r="C56" s="175" t="s">
        <v>90</v>
      </c>
      <c r="D56" s="125">
        <v>49</v>
      </c>
      <c r="E56" s="125">
        <v>53</v>
      </c>
      <c r="F56" s="125">
        <v>81</v>
      </c>
      <c r="G56" s="125">
        <v>102</v>
      </c>
      <c r="H56" s="125">
        <v>92</v>
      </c>
      <c r="I56" s="125">
        <v>107</v>
      </c>
      <c r="J56" s="127">
        <f t="shared" si="23"/>
        <v>114.65244667503137</v>
      </c>
      <c r="K56" s="127">
        <f t="shared" si="23"/>
        <v>119.3513174404015</v>
      </c>
      <c r="L56" s="127">
        <f t="shared" si="23"/>
        <v>121.23086574654955</v>
      </c>
      <c r="M56" s="127">
        <f t="shared" si="23"/>
        <v>123.11041405269762</v>
      </c>
      <c r="N56" s="127">
        <f t="shared" si="23"/>
        <v>131.56838143036387</v>
      </c>
      <c r="O56" s="127">
        <f t="shared" si="23"/>
        <v>132.50815558343788</v>
      </c>
      <c r="P56" s="127">
        <f t="shared" si="23"/>
        <v>132.50815558343788</v>
      </c>
      <c r="Q56" s="127">
        <f t="shared" si="23"/>
        <v>132.50815558343788</v>
      </c>
      <c r="R56" s="127">
        <f t="shared" si="23"/>
        <v>132.50815558343788</v>
      </c>
      <c r="S56" s="127">
        <f t="shared" si="23"/>
        <v>132.50815558343788</v>
      </c>
      <c r="T56" s="127">
        <f t="shared" si="23"/>
        <v>133.44792973651192</v>
      </c>
      <c r="U56" s="194">
        <v>0.10020449897750511</v>
      </c>
      <c r="V56" s="195">
        <v>0.10371819960861056</v>
      </c>
      <c r="W56" s="195">
        <v>0.12939297124600638</v>
      </c>
      <c r="X56" s="195">
        <v>0.12911392405063291</v>
      </c>
      <c r="Y56" s="195">
        <v>0.11794871794871795</v>
      </c>
      <c r="Z56" s="195">
        <v>0.1342534504391468</v>
      </c>
      <c r="AA56" s="195">
        <v>0.1342534504391468</v>
      </c>
      <c r="AB56" s="195">
        <v>0.1342534504391468</v>
      </c>
      <c r="AC56" s="195">
        <v>0.1342534504391468</v>
      </c>
      <c r="AD56" s="195">
        <v>0.1342534504391468</v>
      </c>
      <c r="AE56" s="195">
        <v>0.1342534504391468</v>
      </c>
      <c r="AF56" s="195">
        <v>0.1342534504391468</v>
      </c>
      <c r="AG56" s="195">
        <v>0.1342534504391468</v>
      </c>
      <c r="AH56" s="195">
        <v>0.1342534504391468</v>
      </c>
      <c r="AI56" s="195">
        <v>0.1342534504391468</v>
      </c>
      <c r="AJ56" s="195">
        <v>0.1342534504391468</v>
      </c>
      <c r="AK56" s="195">
        <v>0.1342534504391468</v>
      </c>
    </row>
    <row r="57" spans="1:37" s="187" customFormat="1" ht="24.95" customHeight="1">
      <c r="A57" s="174"/>
      <c r="B57" s="275" t="s">
        <v>665</v>
      </c>
      <c r="C57" s="175" t="s">
        <v>90</v>
      </c>
      <c r="D57" s="125">
        <v>102</v>
      </c>
      <c r="E57" s="125">
        <v>106</v>
      </c>
      <c r="F57" s="125">
        <v>113</v>
      </c>
      <c r="G57" s="125">
        <v>126</v>
      </c>
      <c r="H57" s="125">
        <v>130</v>
      </c>
      <c r="I57" s="125">
        <v>128</v>
      </c>
      <c r="J57" s="127">
        <f t="shared" si="23"/>
        <v>137.15432873274779</v>
      </c>
      <c r="K57" s="127">
        <f t="shared" si="23"/>
        <v>142.77540777917187</v>
      </c>
      <c r="L57" s="127">
        <f t="shared" si="23"/>
        <v>145.02383939774151</v>
      </c>
      <c r="M57" s="127">
        <f t="shared" si="23"/>
        <v>147.27227101631115</v>
      </c>
      <c r="N57" s="127">
        <f t="shared" si="23"/>
        <v>157.39021329987452</v>
      </c>
      <c r="O57" s="127">
        <f t="shared" si="23"/>
        <v>158.51442910915932</v>
      </c>
      <c r="P57" s="127">
        <f t="shared" si="23"/>
        <v>158.51442910915932</v>
      </c>
      <c r="Q57" s="127">
        <f t="shared" si="23"/>
        <v>158.51442910915932</v>
      </c>
      <c r="R57" s="127">
        <f t="shared" si="23"/>
        <v>158.51442910915932</v>
      </c>
      <c r="S57" s="127">
        <f t="shared" si="23"/>
        <v>158.51442910915932</v>
      </c>
      <c r="T57" s="127">
        <f t="shared" si="23"/>
        <v>159.63864491844416</v>
      </c>
      <c r="U57" s="194">
        <v>0.20858895705521471</v>
      </c>
      <c r="V57" s="195">
        <v>0.20743639921722112</v>
      </c>
      <c r="W57" s="195">
        <v>0.18051118210862621</v>
      </c>
      <c r="X57" s="195">
        <v>0.15949367088607594</v>
      </c>
      <c r="Y57" s="195">
        <v>0.16666666666666666</v>
      </c>
      <c r="Z57" s="195">
        <v>0.16060225846925971</v>
      </c>
      <c r="AA57" s="195">
        <v>0.16060225846925971</v>
      </c>
      <c r="AB57" s="195">
        <v>0.16060225846925971</v>
      </c>
      <c r="AC57" s="195">
        <v>0.16060225846925971</v>
      </c>
      <c r="AD57" s="195">
        <v>0.16060225846925971</v>
      </c>
      <c r="AE57" s="195">
        <v>0.16060225846925971</v>
      </c>
      <c r="AF57" s="195">
        <v>0.16060225846925971</v>
      </c>
      <c r="AG57" s="195">
        <v>0.16060225846925971</v>
      </c>
      <c r="AH57" s="195">
        <v>0.16060225846925971</v>
      </c>
      <c r="AI57" s="195">
        <v>0.16060225846925971</v>
      </c>
      <c r="AJ57" s="195">
        <v>0.16060225846925971</v>
      </c>
      <c r="AK57" s="195">
        <v>0.16060225846925971</v>
      </c>
    </row>
    <row r="58" spans="1:37" s="187" customFormat="1" ht="24.95" customHeight="1">
      <c r="A58" s="174"/>
      <c r="B58" s="275" t="s">
        <v>666</v>
      </c>
      <c r="C58" s="175" t="s">
        <v>90</v>
      </c>
      <c r="D58" s="125">
        <v>98</v>
      </c>
      <c r="E58" s="125">
        <v>101</v>
      </c>
      <c r="F58" s="125">
        <v>115</v>
      </c>
      <c r="G58" s="125">
        <v>135</v>
      </c>
      <c r="H58" s="125">
        <v>140</v>
      </c>
      <c r="I58" s="125">
        <v>137</v>
      </c>
      <c r="J58" s="127">
        <f t="shared" si="23"/>
        <v>146.79799247176913</v>
      </c>
      <c r="K58" s="127">
        <f t="shared" si="23"/>
        <v>152.8143036386449</v>
      </c>
      <c r="L58" s="127">
        <f t="shared" si="23"/>
        <v>155.22082810539524</v>
      </c>
      <c r="M58" s="127">
        <f t="shared" si="23"/>
        <v>157.62735257214555</v>
      </c>
      <c r="N58" s="127">
        <f t="shared" si="23"/>
        <v>168.45671267252195</v>
      </c>
      <c r="O58" s="127">
        <f t="shared" si="23"/>
        <v>169.65997490589712</v>
      </c>
      <c r="P58" s="127">
        <f t="shared" si="23"/>
        <v>169.65997490589712</v>
      </c>
      <c r="Q58" s="127">
        <f t="shared" si="23"/>
        <v>169.65997490589712</v>
      </c>
      <c r="R58" s="127">
        <f t="shared" si="23"/>
        <v>169.65997490589712</v>
      </c>
      <c r="S58" s="127">
        <f t="shared" si="23"/>
        <v>169.65997490589712</v>
      </c>
      <c r="T58" s="127">
        <f t="shared" si="23"/>
        <v>170.86323713927226</v>
      </c>
      <c r="U58" s="194">
        <v>0.20040899795501022</v>
      </c>
      <c r="V58" s="195">
        <v>0.19765166340508805</v>
      </c>
      <c r="W58" s="195">
        <v>0.18370607028753994</v>
      </c>
      <c r="X58" s="195">
        <v>0.17088607594936708</v>
      </c>
      <c r="Y58" s="195">
        <v>0.17948717948717949</v>
      </c>
      <c r="Z58" s="195">
        <v>0.17189460476787954</v>
      </c>
      <c r="AA58" s="195">
        <v>0.17189460476787954</v>
      </c>
      <c r="AB58" s="195">
        <v>0.17189460476787954</v>
      </c>
      <c r="AC58" s="195">
        <v>0.17189460476787954</v>
      </c>
      <c r="AD58" s="195">
        <v>0.17189460476787954</v>
      </c>
      <c r="AE58" s="195">
        <v>0.17189460476787954</v>
      </c>
      <c r="AF58" s="195">
        <v>0.17189460476787954</v>
      </c>
      <c r="AG58" s="195">
        <v>0.17189460476787954</v>
      </c>
      <c r="AH58" s="195">
        <v>0.17189460476787954</v>
      </c>
      <c r="AI58" s="195">
        <v>0.17189460476787954</v>
      </c>
      <c r="AJ58" s="195">
        <v>0.17189460476787954</v>
      </c>
      <c r="AK58" s="195">
        <v>0.17189460476787954</v>
      </c>
    </row>
    <row r="59" spans="1:37" s="187" customFormat="1" ht="24.95" customHeight="1">
      <c r="A59" s="174"/>
      <c r="B59" s="275" t="s">
        <v>143</v>
      </c>
      <c r="C59" s="175" t="s">
        <v>90</v>
      </c>
      <c r="D59" s="125">
        <v>12</v>
      </c>
      <c r="E59" s="125">
        <v>11</v>
      </c>
      <c r="F59" s="125">
        <v>11</v>
      </c>
      <c r="G59" s="125">
        <v>50</v>
      </c>
      <c r="H59" s="125">
        <v>46</v>
      </c>
      <c r="I59" s="125">
        <v>46</v>
      </c>
      <c r="J59" s="127">
        <f t="shared" si="23"/>
        <v>49.289836888331244</v>
      </c>
      <c r="K59" s="127">
        <f t="shared" si="23"/>
        <v>51.309912170639898</v>
      </c>
      <c r="L59" s="127">
        <f t="shared" si="23"/>
        <v>52.117942283563359</v>
      </c>
      <c r="M59" s="127">
        <f t="shared" si="23"/>
        <v>52.925972396486827</v>
      </c>
      <c r="N59" s="127">
        <f t="shared" si="23"/>
        <v>56.56210790464241</v>
      </c>
      <c r="O59" s="127">
        <f t="shared" si="23"/>
        <v>56.966122961104141</v>
      </c>
      <c r="P59" s="127">
        <f t="shared" si="23"/>
        <v>56.966122961104141</v>
      </c>
      <c r="Q59" s="127">
        <f t="shared" si="23"/>
        <v>56.966122961104141</v>
      </c>
      <c r="R59" s="127">
        <f t="shared" si="23"/>
        <v>56.966122961104141</v>
      </c>
      <c r="S59" s="127">
        <f t="shared" si="23"/>
        <v>56.966122961104141</v>
      </c>
      <c r="T59" s="127">
        <f t="shared" si="23"/>
        <v>57.370138017565871</v>
      </c>
      <c r="U59" s="194">
        <v>2.4539877300613498E-2</v>
      </c>
      <c r="V59" s="195">
        <v>2.1526418786692758E-2</v>
      </c>
      <c r="W59" s="195">
        <v>1.7571884984025558E-2</v>
      </c>
      <c r="X59" s="195">
        <v>6.3291139240506333E-2</v>
      </c>
      <c r="Y59" s="195">
        <v>5.8974358974358973E-2</v>
      </c>
      <c r="Z59" s="195">
        <v>5.7716436637390213E-2</v>
      </c>
      <c r="AA59" s="195">
        <v>5.7716436637390213E-2</v>
      </c>
      <c r="AB59" s="195">
        <v>5.7716436637390213E-2</v>
      </c>
      <c r="AC59" s="195">
        <v>5.7716436637390213E-2</v>
      </c>
      <c r="AD59" s="195">
        <v>5.7716436637390213E-2</v>
      </c>
      <c r="AE59" s="195">
        <v>5.7716436637390213E-2</v>
      </c>
      <c r="AF59" s="195">
        <v>5.7716436637390213E-2</v>
      </c>
      <c r="AG59" s="195">
        <v>5.7716436637390213E-2</v>
      </c>
      <c r="AH59" s="195">
        <v>5.7716436637390213E-2</v>
      </c>
      <c r="AI59" s="195">
        <v>5.7716436637390213E-2</v>
      </c>
      <c r="AJ59" s="195">
        <v>5.7716436637390213E-2</v>
      </c>
      <c r="AK59" s="195">
        <v>5.7716436637390213E-2</v>
      </c>
    </row>
    <row r="60" spans="1:37" s="187" customFormat="1" ht="24.95" customHeight="1">
      <c r="A60" s="174">
        <v>7</v>
      </c>
      <c r="B60" s="183" t="s">
        <v>144</v>
      </c>
      <c r="C60" s="174"/>
      <c r="D60" s="136"/>
      <c r="E60" s="136"/>
      <c r="F60" s="136"/>
      <c r="G60" s="136"/>
      <c r="H60" s="136"/>
      <c r="I60" s="136"/>
      <c r="J60" s="133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86"/>
    </row>
    <row r="61" spans="1:37" s="196" customFormat="1" ht="24.95" customHeight="1">
      <c r="A61" s="175" t="s">
        <v>576</v>
      </c>
      <c r="B61" s="185" t="s">
        <v>106</v>
      </c>
      <c r="C61" s="175" t="s">
        <v>107</v>
      </c>
      <c r="D61" s="125">
        <v>1160</v>
      </c>
      <c r="E61" s="125">
        <v>1165</v>
      </c>
      <c r="F61" s="125">
        <v>1175</v>
      </c>
      <c r="G61" s="125">
        <v>1136</v>
      </c>
      <c r="H61" s="125">
        <v>1146</v>
      </c>
      <c r="I61" s="125">
        <v>1122</v>
      </c>
      <c r="J61" s="125">
        <f t="shared" ref="J61:T61" si="24">J28</f>
        <v>1349.516129032258</v>
      </c>
      <c r="K61" s="125">
        <f t="shared" si="24"/>
        <v>1556.4194858083067</v>
      </c>
      <c r="L61" s="125">
        <f t="shared" si="24"/>
        <v>1573.3858551968258</v>
      </c>
      <c r="M61" s="125">
        <f t="shared" si="24"/>
        <v>1577.6576750375</v>
      </c>
      <c r="N61" s="125">
        <f t="shared" si="24"/>
        <v>1581.363322286154</v>
      </c>
      <c r="O61" s="125">
        <f t="shared" si="24"/>
        <v>1584.7139379393941</v>
      </c>
      <c r="P61" s="125">
        <f t="shared" si="24"/>
        <v>1589.4926847522386</v>
      </c>
      <c r="Q61" s="125">
        <f t="shared" si="24"/>
        <v>1592.2651995441176</v>
      </c>
      <c r="R61" s="125">
        <f t="shared" si="24"/>
        <v>1594.8280347884061</v>
      </c>
      <c r="S61" s="125">
        <f t="shared" si="24"/>
        <v>1598.0566231999999</v>
      </c>
      <c r="T61" s="125">
        <f t="shared" si="24"/>
        <v>1736.2757913142857</v>
      </c>
      <c r="U61" s="184"/>
    </row>
    <row r="62" spans="1:37" s="187" customFormat="1" ht="24.95" customHeight="1">
      <c r="A62" s="175"/>
      <c r="B62" s="193" t="s">
        <v>122</v>
      </c>
      <c r="C62" s="175" t="s">
        <v>90</v>
      </c>
      <c r="D62" s="125">
        <v>879</v>
      </c>
      <c r="E62" s="125">
        <v>938</v>
      </c>
      <c r="F62" s="125">
        <v>987</v>
      </c>
      <c r="G62" s="125">
        <v>941</v>
      </c>
      <c r="H62" s="125">
        <v>939</v>
      </c>
      <c r="I62" s="125">
        <v>914</v>
      </c>
      <c r="J62" s="125">
        <f>I62+20</f>
        <v>934</v>
      </c>
      <c r="K62" s="125">
        <f>J62+20</f>
        <v>954</v>
      </c>
      <c r="L62" s="125">
        <f>K62+25</f>
        <v>979</v>
      </c>
      <c r="M62" s="125">
        <f>L62+25</f>
        <v>1004</v>
      </c>
      <c r="N62" s="125">
        <f>M62+30</f>
        <v>1034</v>
      </c>
      <c r="O62" s="125">
        <f>N62+35</f>
        <v>1069</v>
      </c>
      <c r="P62" s="125">
        <f>O62+35</f>
        <v>1104</v>
      </c>
      <c r="Q62" s="125">
        <f>P62+40</f>
        <v>1144</v>
      </c>
      <c r="R62" s="125">
        <f>Q62+40</f>
        <v>1184</v>
      </c>
      <c r="S62" s="125">
        <f>R62+50</f>
        <v>1234</v>
      </c>
      <c r="T62" s="125">
        <f>S62+100</f>
        <v>1334</v>
      </c>
      <c r="U62" s="190"/>
      <c r="V62" s="197"/>
    </row>
    <row r="63" spans="1:37" s="187" customFormat="1" ht="24.95" customHeight="1">
      <c r="A63" s="175"/>
      <c r="B63" s="193" t="s">
        <v>227</v>
      </c>
      <c r="C63" s="175" t="s">
        <v>108</v>
      </c>
      <c r="D63" s="128">
        <f t="shared" ref="D63:T63" si="25">D61/D28</f>
        <v>0.88212927756653992</v>
      </c>
      <c r="E63" s="128">
        <f t="shared" si="25"/>
        <v>0.91516103692065986</v>
      </c>
      <c r="F63" s="128">
        <f t="shared" si="25"/>
        <v>0.91582229150428685</v>
      </c>
      <c r="G63" s="128">
        <f t="shared" si="25"/>
        <v>0.89028213166144199</v>
      </c>
      <c r="H63" s="128">
        <f t="shared" si="25"/>
        <v>0.86686838124054466</v>
      </c>
      <c r="I63" s="128">
        <f t="shared" si="25"/>
        <v>0.85</v>
      </c>
      <c r="J63" s="128">
        <f t="shared" si="25"/>
        <v>1</v>
      </c>
      <c r="K63" s="128">
        <f t="shared" si="25"/>
        <v>1</v>
      </c>
      <c r="L63" s="128">
        <f t="shared" si="25"/>
        <v>1</v>
      </c>
      <c r="M63" s="128">
        <f t="shared" si="25"/>
        <v>1</v>
      </c>
      <c r="N63" s="128">
        <f t="shared" si="25"/>
        <v>1</v>
      </c>
      <c r="O63" s="128">
        <f t="shared" si="25"/>
        <v>1</v>
      </c>
      <c r="P63" s="128">
        <f t="shared" si="25"/>
        <v>1</v>
      </c>
      <c r="Q63" s="128">
        <f t="shared" si="25"/>
        <v>1</v>
      </c>
      <c r="R63" s="128">
        <f t="shared" si="25"/>
        <v>1</v>
      </c>
      <c r="S63" s="128">
        <f t="shared" si="25"/>
        <v>1</v>
      </c>
      <c r="T63" s="128">
        <f t="shared" si="25"/>
        <v>1</v>
      </c>
      <c r="U63" s="190"/>
    </row>
    <row r="64" spans="1:37" s="187" customFormat="1" ht="24.95" customHeight="1">
      <c r="A64" s="175" t="s">
        <v>577</v>
      </c>
      <c r="B64" s="171" t="s">
        <v>264</v>
      </c>
      <c r="C64" s="172" t="s">
        <v>107</v>
      </c>
      <c r="D64" s="125">
        <v>208</v>
      </c>
      <c r="E64" s="125">
        <v>200</v>
      </c>
      <c r="F64" s="125">
        <v>198</v>
      </c>
      <c r="G64" s="125">
        <v>262</v>
      </c>
      <c r="H64" s="125">
        <v>305</v>
      </c>
      <c r="I64" s="125">
        <v>347</v>
      </c>
      <c r="J64" s="125">
        <f>I64+10</f>
        <v>357</v>
      </c>
      <c r="K64" s="125">
        <f>K4*(J66+0.2)</f>
        <v>397.03114754098362</v>
      </c>
      <c r="L64" s="125">
        <f>L4*(K66+0.2)</f>
        <v>429.0836065573771</v>
      </c>
      <c r="M64" s="125">
        <f>M4*(L66+0.2)</f>
        <v>461.93606557377058</v>
      </c>
      <c r="N64" s="125">
        <f>N4*(M66+0.3)</f>
        <v>535.67213114754099</v>
      </c>
      <c r="O64" s="125">
        <f>O4*(N66+0.3)</f>
        <v>581.79836065573772</v>
      </c>
      <c r="P64" s="125">
        <f>P4*(O66+0.4)</f>
        <v>638.19836065573782</v>
      </c>
      <c r="Q64" s="125">
        <f>Q4*(P66+0.4)</f>
        <v>694.59836065573779</v>
      </c>
      <c r="R64" s="125">
        <f>R4*(Q66+0.4)</f>
        <v>750.99836065573788</v>
      </c>
      <c r="S64" s="125">
        <f>S4*(R66+0.4)</f>
        <v>807.39836065573797</v>
      </c>
      <c r="T64" s="125">
        <f>T4*6</f>
        <v>852</v>
      </c>
      <c r="U64" s="190"/>
    </row>
    <row r="65" spans="1:22" s="187" customFormat="1" ht="24.95" customHeight="1">
      <c r="A65" s="175"/>
      <c r="B65" s="193" t="s">
        <v>122</v>
      </c>
      <c r="C65" s="175" t="s">
        <v>90</v>
      </c>
      <c r="D65" s="125">
        <v>192</v>
      </c>
      <c r="E65" s="125">
        <v>172</v>
      </c>
      <c r="F65" s="125">
        <v>184</v>
      </c>
      <c r="G65" s="125">
        <v>236</v>
      </c>
      <c r="H65" s="125">
        <v>270</v>
      </c>
      <c r="I65" s="125">
        <v>302</v>
      </c>
      <c r="J65" s="125">
        <f>I65+8</f>
        <v>310</v>
      </c>
      <c r="K65" s="125">
        <f t="shared" ref="K65:S65" si="26">J65+10</f>
        <v>320</v>
      </c>
      <c r="L65" s="125">
        <f t="shared" si="26"/>
        <v>330</v>
      </c>
      <c r="M65" s="125">
        <f t="shared" si="26"/>
        <v>340</v>
      </c>
      <c r="N65" s="125">
        <f t="shared" si="26"/>
        <v>350</v>
      </c>
      <c r="O65" s="125">
        <f t="shared" si="26"/>
        <v>360</v>
      </c>
      <c r="P65" s="125">
        <f t="shared" si="26"/>
        <v>370</v>
      </c>
      <c r="Q65" s="125">
        <f t="shared" si="26"/>
        <v>380</v>
      </c>
      <c r="R65" s="125">
        <f t="shared" si="26"/>
        <v>390</v>
      </c>
      <c r="S65" s="125">
        <f t="shared" si="26"/>
        <v>400</v>
      </c>
      <c r="T65" s="125">
        <v>502</v>
      </c>
      <c r="U65" s="186"/>
    </row>
    <row r="66" spans="1:22" s="187" customFormat="1" ht="24.95" customHeight="1">
      <c r="A66" s="175"/>
      <c r="B66" s="193" t="s">
        <v>109</v>
      </c>
      <c r="C66" s="175" t="s">
        <v>110</v>
      </c>
      <c r="D66" s="128">
        <f t="shared" ref="D66:T66" si="27">D64/D4</f>
        <v>1.808695652173913</v>
      </c>
      <c r="E66" s="128">
        <f t="shared" si="27"/>
        <v>1.7543859649122806</v>
      </c>
      <c r="F66" s="128">
        <f t="shared" si="27"/>
        <v>1.736842105263158</v>
      </c>
      <c r="G66" s="128">
        <f t="shared" si="27"/>
        <v>2.2982456140350878</v>
      </c>
      <c r="H66" s="128">
        <f t="shared" si="27"/>
        <v>2.6754385964912282</v>
      </c>
      <c r="I66" s="128">
        <f t="shared" si="27"/>
        <v>3.0707964601769913</v>
      </c>
      <c r="J66" s="128">
        <f t="shared" si="27"/>
        <v>2.9262295081967213</v>
      </c>
      <c r="K66" s="128">
        <f t="shared" si="27"/>
        <v>3.1262295081967215</v>
      </c>
      <c r="L66" s="128">
        <f t="shared" si="27"/>
        <v>3.3262295081967217</v>
      </c>
      <c r="M66" s="128">
        <f t="shared" si="27"/>
        <v>3.5262295081967219</v>
      </c>
      <c r="N66" s="128">
        <f t="shared" si="27"/>
        <v>3.8262295081967213</v>
      </c>
      <c r="O66" s="128">
        <f t="shared" si="27"/>
        <v>4.1262295081967215</v>
      </c>
      <c r="P66" s="128">
        <f t="shared" si="27"/>
        <v>4.5262295081967219</v>
      </c>
      <c r="Q66" s="128">
        <f t="shared" si="27"/>
        <v>4.9262295081967222</v>
      </c>
      <c r="R66" s="128">
        <f t="shared" si="27"/>
        <v>5.3262295081967226</v>
      </c>
      <c r="S66" s="128">
        <f t="shared" si="27"/>
        <v>5.7262295081967229</v>
      </c>
      <c r="T66" s="128">
        <f t="shared" si="27"/>
        <v>6</v>
      </c>
      <c r="U66" s="186"/>
    </row>
    <row r="67" spans="1:22" s="187" customFormat="1" ht="24.95" customHeight="1">
      <c r="A67" s="175" t="s">
        <v>578</v>
      </c>
      <c r="B67" s="193" t="s">
        <v>112</v>
      </c>
      <c r="C67" s="175" t="s">
        <v>107</v>
      </c>
      <c r="D67" s="125">
        <v>439</v>
      </c>
      <c r="E67" s="125">
        <v>478</v>
      </c>
      <c r="F67" s="125">
        <v>522</v>
      </c>
      <c r="G67" s="125">
        <v>552</v>
      </c>
      <c r="H67" s="125">
        <v>615</v>
      </c>
      <c r="I67" s="125">
        <v>637</v>
      </c>
      <c r="J67" s="125">
        <v>697</v>
      </c>
      <c r="K67" s="125">
        <v>763</v>
      </c>
      <c r="L67" s="125">
        <v>787</v>
      </c>
      <c r="M67" s="125">
        <v>810</v>
      </c>
      <c r="N67" s="125">
        <v>836</v>
      </c>
      <c r="O67" s="125">
        <v>850</v>
      </c>
      <c r="P67" s="125">
        <v>860</v>
      </c>
      <c r="Q67" s="125">
        <v>877</v>
      </c>
      <c r="R67" s="125">
        <v>889</v>
      </c>
      <c r="S67" s="125">
        <v>896</v>
      </c>
      <c r="T67" s="125">
        <v>931</v>
      </c>
      <c r="U67" s="186"/>
    </row>
    <row r="68" spans="1:22" s="187" customFormat="1" ht="24.95" customHeight="1">
      <c r="A68" s="175"/>
      <c r="B68" s="193" t="s">
        <v>122</v>
      </c>
      <c r="C68" s="175" t="s">
        <v>90</v>
      </c>
      <c r="D68" s="125">
        <v>173</v>
      </c>
      <c r="E68" s="125">
        <v>191</v>
      </c>
      <c r="F68" s="125">
        <v>214</v>
      </c>
      <c r="G68" s="125">
        <v>241</v>
      </c>
      <c r="H68" s="125">
        <v>279</v>
      </c>
      <c r="I68" s="125">
        <v>308</v>
      </c>
      <c r="J68" s="125">
        <f t="shared" ref="J68:S68" si="28">I68+10</f>
        <v>318</v>
      </c>
      <c r="K68" s="125">
        <f t="shared" si="28"/>
        <v>328</v>
      </c>
      <c r="L68" s="125">
        <f t="shared" si="28"/>
        <v>338</v>
      </c>
      <c r="M68" s="125">
        <f t="shared" si="28"/>
        <v>348</v>
      </c>
      <c r="N68" s="125">
        <f t="shared" si="28"/>
        <v>358</v>
      </c>
      <c r="O68" s="125">
        <f t="shared" si="28"/>
        <v>368</v>
      </c>
      <c r="P68" s="125">
        <f t="shared" si="28"/>
        <v>378</v>
      </c>
      <c r="Q68" s="125">
        <f t="shared" si="28"/>
        <v>388</v>
      </c>
      <c r="R68" s="125">
        <f t="shared" si="28"/>
        <v>398</v>
      </c>
      <c r="S68" s="125">
        <f t="shared" si="28"/>
        <v>408</v>
      </c>
      <c r="T68" s="125">
        <f>S68+100</f>
        <v>508</v>
      </c>
      <c r="U68" s="186"/>
    </row>
    <row r="69" spans="1:22" s="187" customFormat="1" ht="24.95" customHeight="1">
      <c r="A69" s="175" t="s">
        <v>579</v>
      </c>
      <c r="B69" s="185" t="s">
        <v>229</v>
      </c>
      <c r="C69" s="175" t="s">
        <v>107</v>
      </c>
      <c r="D69" s="125">
        <v>882</v>
      </c>
      <c r="E69" s="125">
        <v>972</v>
      </c>
      <c r="F69" s="125">
        <v>1081</v>
      </c>
      <c r="G69" s="125">
        <v>1152</v>
      </c>
      <c r="H69" s="125">
        <v>1220</v>
      </c>
      <c r="I69" s="125">
        <v>1256</v>
      </c>
      <c r="J69" s="125">
        <f>I69+50</f>
        <v>1306</v>
      </c>
      <c r="K69" s="125">
        <f>J69+170</f>
        <v>1476</v>
      </c>
      <c r="L69" s="125">
        <f>K69+170</f>
        <v>1646</v>
      </c>
      <c r="M69" s="125">
        <f>L69+170</f>
        <v>1816</v>
      </c>
      <c r="N69" s="125">
        <f>N22/8*0.8</f>
        <v>2364.1381668178001</v>
      </c>
      <c r="O69" s="125">
        <f>N69+170</f>
        <v>2534.1381668178001</v>
      </c>
      <c r="P69" s="125">
        <f>O69+170</f>
        <v>2704.1381668178001</v>
      </c>
      <c r="Q69" s="125">
        <f>P69+170</f>
        <v>2874.1381668178001</v>
      </c>
      <c r="R69" s="125">
        <f>Q69+170</f>
        <v>3044.1381668178001</v>
      </c>
      <c r="S69" s="125">
        <f>S22/8</f>
        <v>3495.7488632500003</v>
      </c>
      <c r="T69" s="125">
        <f>T22/8</f>
        <v>3798.1032935000003</v>
      </c>
      <c r="U69" s="186"/>
    </row>
    <row r="70" spans="1:22" s="187" customFormat="1" ht="24.95" customHeight="1">
      <c r="A70" s="175"/>
      <c r="B70" s="193" t="s">
        <v>122</v>
      </c>
      <c r="C70" s="175" t="s">
        <v>90</v>
      </c>
      <c r="D70" s="125">
        <v>389</v>
      </c>
      <c r="E70" s="125">
        <v>431</v>
      </c>
      <c r="F70" s="125">
        <v>460</v>
      </c>
      <c r="G70" s="125">
        <v>494</v>
      </c>
      <c r="H70" s="125">
        <v>525</v>
      </c>
      <c r="I70" s="125">
        <v>559</v>
      </c>
      <c r="J70" s="125">
        <f t="shared" ref="J70:S70" si="29">I70+30</f>
        <v>589</v>
      </c>
      <c r="K70" s="125">
        <f t="shared" si="29"/>
        <v>619</v>
      </c>
      <c r="L70" s="125">
        <f t="shared" si="29"/>
        <v>649</v>
      </c>
      <c r="M70" s="125">
        <f t="shared" si="29"/>
        <v>679</v>
      </c>
      <c r="N70" s="125">
        <f t="shared" si="29"/>
        <v>709</v>
      </c>
      <c r="O70" s="125">
        <f t="shared" si="29"/>
        <v>739</v>
      </c>
      <c r="P70" s="125">
        <f t="shared" si="29"/>
        <v>769</v>
      </c>
      <c r="Q70" s="125">
        <f t="shared" si="29"/>
        <v>799</v>
      </c>
      <c r="R70" s="125">
        <f t="shared" si="29"/>
        <v>829</v>
      </c>
      <c r="S70" s="125">
        <f t="shared" si="29"/>
        <v>859</v>
      </c>
      <c r="T70" s="125">
        <f>S70+100</f>
        <v>959</v>
      </c>
      <c r="U70" s="186"/>
    </row>
    <row r="71" spans="1:22" s="187" customFormat="1" ht="24.95" customHeight="1">
      <c r="A71" s="175" t="s">
        <v>580</v>
      </c>
      <c r="B71" s="193" t="s">
        <v>145</v>
      </c>
      <c r="C71" s="175" t="s">
        <v>111</v>
      </c>
      <c r="D71" s="125">
        <v>53</v>
      </c>
      <c r="E71" s="125">
        <v>70</v>
      </c>
      <c r="F71" s="125">
        <v>82</v>
      </c>
      <c r="G71" s="125">
        <v>86</v>
      </c>
      <c r="H71" s="125">
        <v>99</v>
      </c>
      <c r="I71" s="125">
        <v>100</v>
      </c>
      <c r="J71" s="125">
        <v>101</v>
      </c>
      <c r="K71" s="125">
        <v>105</v>
      </c>
      <c r="L71" s="125">
        <v>108</v>
      </c>
      <c r="M71" s="125">
        <v>109</v>
      </c>
      <c r="N71" s="125">
        <v>109</v>
      </c>
      <c r="O71" s="125">
        <v>113</v>
      </c>
      <c r="P71" s="125">
        <v>113</v>
      </c>
      <c r="Q71" s="125">
        <v>113</v>
      </c>
      <c r="R71" s="125">
        <v>113</v>
      </c>
      <c r="S71" s="125">
        <v>114</v>
      </c>
      <c r="T71" s="125">
        <v>119</v>
      </c>
      <c r="U71" s="186"/>
      <c r="V71" s="187">
        <f>23*2.23</f>
        <v>51.29</v>
      </c>
    </row>
    <row r="72" spans="1:22" s="187" customFormat="1" ht="24.95" customHeight="1">
      <c r="A72" s="175"/>
      <c r="B72" s="193" t="s">
        <v>117</v>
      </c>
      <c r="C72" s="175" t="s">
        <v>90</v>
      </c>
      <c r="D72" s="125">
        <v>26</v>
      </c>
      <c r="E72" s="125">
        <v>29</v>
      </c>
      <c r="F72" s="125">
        <v>35</v>
      </c>
      <c r="G72" s="125">
        <v>38</v>
      </c>
      <c r="H72" s="125">
        <v>43</v>
      </c>
      <c r="I72" s="125">
        <v>44</v>
      </c>
      <c r="J72" s="125">
        <f>I72+5</f>
        <v>49</v>
      </c>
      <c r="K72" s="125">
        <f>J72+5</f>
        <v>54</v>
      </c>
      <c r="L72" s="125">
        <f>K72+5</f>
        <v>59</v>
      </c>
      <c r="M72" s="125">
        <f>L72+5</f>
        <v>64</v>
      </c>
      <c r="N72" s="125">
        <f>M72+5</f>
        <v>69</v>
      </c>
      <c r="O72" s="125">
        <f>N72+3</f>
        <v>72</v>
      </c>
      <c r="P72" s="125">
        <f>O72+3</f>
        <v>75</v>
      </c>
      <c r="Q72" s="125">
        <f>P72+3</f>
        <v>78</v>
      </c>
      <c r="R72" s="125">
        <f>Q72+3</f>
        <v>81</v>
      </c>
      <c r="S72" s="125">
        <f>R72+3</f>
        <v>84</v>
      </c>
      <c r="T72" s="125">
        <f>T71</f>
        <v>119</v>
      </c>
      <c r="U72" s="186"/>
    </row>
    <row r="73" spans="1:22" s="187" customFormat="1" ht="24.95" customHeight="1">
      <c r="A73" s="175" t="s">
        <v>581</v>
      </c>
      <c r="B73" s="185" t="s">
        <v>265</v>
      </c>
      <c r="C73" s="175" t="s">
        <v>113</v>
      </c>
      <c r="D73" s="125">
        <v>202</v>
      </c>
      <c r="E73" s="125">
        <v>215</v>
      </c>
      <c r="F73" s="125">
        <v>230</v>
      </c>
      <c r="G73" s="125">
        <v>274</v>
      </c>
      <c r="H73" s="125">
        <v>297</v>
      </c>
      <c r="I73" s="125">
        <v>317</v>
      </c>
      <c r="J73" s="125">
        <f>J4*2.6</f>
        <v>317.2</v>
      </c>
      <c r="K73" s="125">
        <f>K4*2.7</f>
        <v>342.90000000000003</v>
      </c>
      <c r="L73" s="125">
        <f>L4*2.8</f>
        <v>361.2</v>
      </c>
      <c r="M73" s="125">
        <f>M4*2.9</f>
        <v>379.9</v>
      </c>
      <c r="N73" s="125">
        <f t="shared" ref="N73:T73" si="30">N4*3</f>
        <v>420</v>
      </c>
      <c r="O73" s="125">
        <f t="shared" si="30"/>
        <v>423</v>
      </c>
      <c r="P73" s="125">
        <f t="shared" si="30"/>
        <v>423</v>
      </c>
      <c r="Q73" s="125">
        <f t="shared" si="30"/>
        <v>423</v>
      </c>
      <c r="R73" s="125">
        <f t="shared" si="30"/>
        <v>423</v>
      </c>
      <c r="S73" s="125">
        <f t="shared" si="30"/>
        <v>423</v>
      </c>
      <c r="T73" s="125">
        <f t="shared" si="30"/>
        <v>426</v>
      </c>
      <c r="U73" s="186"/>
    </row>
    <row r="74" spans="1:22" s="187" customFormat="1" ht="24.95" customHeight="1">
      <c r="A74" s="175"/>
      <c r="B74" s="193" t="s">
        <v>266</v>
      </c>
      <c r="C74" s="175" t="s">
        <v>90</v>
      </c>
      <c r="D74" s="125">
        <v>169</v>
      </c>
      <c r="E74" s="125">
        <v>184</v>
      </c>
      <c r="F74" s="125">
        <v>204</v>
      </c>
      <c r="G74" s="125">
        <v>226</v>
      </c>
      <c r="H74" s="125">
        <v>244</v>
      </c>
      <c r="I74" s="125">
        <v>258</v>
      </c>
      <c r="J74" s="125">
        <f t="shared" ref="J74:S74" si="31">I74+10</f>
        <v>268</v>
      </c>
      <c r="K74" s="125">
        <f t="shared" si="31"/>
        <v>278</v>
      </c>
      <c r="L74" s="125">
        <f t="shared" si="31"/>
        <v>288</v>
      </c>
      <c r="M74" s="125">
        <f t="shared" si="31"/>
        <v>298</v>
      </c>
      <c r="N74" s="125">
        <f t="shared" si="31"/>
        <v>308</v>
      </c>
      <c r="O74" s="125">
        <f t="shared" si="31"/>
        <v>318</v>
      </c>
      <c r="P74" s="125">
        <f t="shared" si="31"/>
        <v>328</v>
      </c>
      <c r="Q74" s="125">
        <f t="shared" si="31"/>
        <v>338</v>
      </c>
      <c r="R74" s="125">
        <f t="shared" si="31"/>
        <v>348</v>
      </c>
      <c r="S74" s="125">
        <f t="shared" si="31"/>
        <v>358</v>
      </c>
      <c r="T74" s="125">
        <f>T73</f>
        <v>426</v>
      </c>
      <c r="U74" s="186"/>
    </row>
    <row r="75" spans="1:22" s="187" customFormat="1" ht="24.95" customHeight="1">
      <c r="A75" s="175" t="s">
        <v>582</v>
      </c>
      <c r="B75" s="185" t="s">
        <v>669</v>
      </c>
      <c r="C75" s="175" t="s">
        <v>114</v>
      </c>
      <c r="D75" s="125">
        <v>90</v>
      </c>
      <c r="E75" s="125">
        <v>91</v>
      </c>
      <c r="F75" s="125">
        <v>93</v>
      </c>
      <c r="G75" s="125">
        <v>98</v>
      </c>
      <c r="H75" s="125">
        <v>99</v>
      </c>
      <c r="I75" s="125">
        <v>99</v>
      </c>
      <c r="J75" s="125">
        <f>I75+5</f>
        <v>104</v>
      </c>
      <c r="K75" s="125">
        <f>J75+3</f>
        <v>107</v>
      </c>
      <c r="L75" s="125">
        <f>K75+3</f>
        <v>110</v>
      </c>
      <c r="M75" s="125">
        <f>L75+4</f>
        <v>114</v>
      </c>
      <c r="N75" s="125">
        <f>M75+3</f>
        <v>117</v>
      </c>
      <c r="O75" s="125">
        <f>N75+3</f>
        <v>120</v>
      </c>
      <c r="P75" s="125">
        <f>O75+3</f>
        <v>123</v>
      </c>
      <c r="Q75" s="125">
        <f>P75+3</f>
        <v>126</v>
      </c>
      <c r="R75" s="125">
        <f>Q75+3</f>
        <v>129</v>
      </c>
      <c r="S75" s="125">
        <f>S4</f>
        <v>141</v>
      </c>
      <c r="T75" s="125">
        <f>T4</f>
        <v>142</v>
      </c>
      <c r="U75" s="186"/>
    </row>
    <row r="76" spans="1:22" s="196" customFormat="1" ht="24.95" customHeight="1">
      <c r="A76" s="174">
        <v>8</v>
      </c>
      <c r="B76" s="188" t="s">
        <v>132</v>
      </c>
      <c r="C76" s="125" t="s">
        <v>116</v>
      </c>
      <c r="D76" s="166">
        <f t="shared" ref="D76:T76" si="32">D77+D78</f>
        <v>281561</v>
      </c>
      <c r="E76" s="166">
        <f t="shared" si="32"/>
        <v>391169</v>
      </c>
      <c r="F76" s="166">
        <f t="shared" si="32"/>
        <v>421831</v>
      </c>
      <c r="G76" s="166">
        <f t="shared" si="32"/>
        <v>537174</v>
      </c>
      <c r="H76" s="166">
        <f t="shared" si="32"/>
        <v>440279</v>
      </c>
      <c r="I76" s="166">
        <f t="shared" si="32"/>
        <v>491341</v>
      </c>
      <c r="J76" s="166">
        <f t="shared" si="32"/>
        <v>509651</v>
      </c>
      <c r="K76" s="166">
        <f t="shared" si="32"/>
        <v>567775</v>
      </c>
      <c r="L76" s="166">
        <f t="shared" si="32"/>
        <v>575120</v>
      </c>
      <c r="M76" s="166">
        <f t="shared" si="32"/>
        <v>577841</v>
      </c>
      <c r="N76" s="166">
        <f t="shared" si="32"/>
        <v>589621</v>
      </c>
      <c r="O76" s="166">
        <f t="shared" si="32"/>
        <v>592616</v>
      </c>
      <c r="P76" s="166">
        <f t="shared" si="32"/>
        <v>593792</v>
      </c>
      <c r="Q76" s="166">
        <f t="shared" si="32"/>
        <v>596474</v>
      </c>
      <c r="R76" s="166">
        <f t="shared" si="32"/>
        <v>597104</v>
      </c>
      <c r="S76" s="166">
        <f t="shared" si="32"/>
        <v>606398</v>
      </c>
      <c r="T76" s="166">
        <f t="shared" si="32"/>
        <v>789171</v>
      </c>
      <c r="U76" s="186"/>
    </row>
    <row r="77" spans="1:22" s="187" customFormat="1" ht="24.95" customHeight="1">
      <c r="A77" s="174"/>
      <c r="B77" s="193" t="s">
        <v>123</v>
      </c>
      <c r="C77" s="121" t="s">
        <v>90</v>
      </c>
      <c r="D77" s="142">
        <v>240812</v>
      </c>
      <c r="E77" s="142">
        <v>346738</v>
      </c>
      <c r="F77" s="142">
        <v>370419</v>
      </c>
      <c r="G77" s="142">
        <v>489494</v>
      </c>
      <c r="H77" s="142">
        <v>393129</v>
      </c>
      <c r="I77" s="142">
        <v>460241</v>
      </c>
      <c r="J77" s="142">
        <v>478351</v>
      </c>
      <c r="K77" s="142">
        <v>536275</v>
      </c>
      <c r="L77" s="142">
        <v>541620</v>
      </c>
      <c r="M77" s="142">
        <v>543841</v>
      </c>
      <c r="N77" s="142">
        <v>554121</v>
      </c>
      <c r="O77" s="142">
        <v>556116</v>
      </c>
      <c r="P77" s="142">
        <v>557292</v>
      </c>
      <c r="Q77" s="142">
        <v>557974</v>
      </c>
      <c r="R77" s="142">
        <v>558604</v>
      </c>
      <c r="S77" s="142">
        <v>559398</v>
      </c>
      <c r="T77" s="142">
        <v>594571</v>
      </c>
      <c r="U77" s="186"/>
    </row>
    <row r="78" spans="1:22" s="187" customFormat="1" ht="24.95" customHeight="1">
      <c r="A78" s="174"/>
      <c r="B78" s="193" t="s">
        <v>61</v>
      </c>
      <c r="C78" s="146" t="s">
        <v>90</v>
      </c>
      <c r="D78" s="125">
        <v>40749</v>
      </c>
      <c r="E78" s="125">
        <v>44431</v>
      </c>
      <c r="F78" s="125">
        <v>51412</v>
      </c>
      <c r="G78" s="125">
        <v>47680</v>
      </c>
      <c r="H78" s="201">
        <f t="shared" ref="H78:T78" si="33">400*(H62-G62)+600*(H65-G65)+300*(H68-G68)+250*(H70-G70)+500*(H72-G72)+300*(H74-G74)+500*(H75-G75)</f>
        <v>47150</v>
      </c>
      <c r="I78" s="201">
        <f t="shared" si="33"/>
        <v>31100</v>
      </c>
      <c r="J78" s="201">
        <f t="shared" si="33"/>
        <v>31300</v>
      </c>
      <c r="K78" s="201">
        <f t="shared" si="33"/>
        <v>31500</v>
      </c>
      <c r="L78" s="201">
        <f t="shared" si="33"/>
        <v>33500</v>
      </c>
      <c r="M78" s="201">
        <f t="shared" si="33"/>
        <v>34000</v>
      </c>
      <c r="N78" s="201">
        <f t="shared" si="33"/>
        <v>35500</v>
      </c>
      <c r="O78" s="201">
        <f t="shared" si="33"/>
        <v>36500</v>
      </c>
      <c r="P78" s="201">
        <f t="shared" si="33"/>
        <v>36500</v>
      </c>
      <c r="Q78" s="201">
        <f t="shared" si="33"/>
        <v>38500</v>
      </c>
      <c r="R78" s="201">
        <f t="shared" si="33"/>
        <v>38500</v>
      </c>
      <c r="S78" s="201">
        <f t="shared" si="33"/>
        <v>47000</v>
      </c>
      <c r="T78" s="201">
        <f t="shared" si="33"/>
        <v>194600</v>
      </c>
      <c r="U78" s="186"/>
    </row>
    <row r="79" spans="1:22" s="196" customFormat="1" ht="24.95" customHeight="1">
      <c r="A79" s="174">
        <v>9</v>
      </c>
      <c r="B79" s="188" t="s">
        <v>267</v>
      </c>
      <c r="C79" s="121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84"/>
    </row>
    <row r="80" spans="1:22" s="196" customFormat="1" ht="24.95" customHeight="1">
      <c r="A80" s="175" t="s">
        <v>649</v>
      </c>
      <c r="B80" s="193" t="s">
        <v>268</v>
      </c>
      <c r="C80" s="121" t="s">
        <v>118</v>
      </c>
      <c r="D80" s="136"/>
      <c r="E80" s="136"/>
      <c r="F80" s="136"/>
      <c r="G80" s="136"/>
      <c r="H80" s="125">
        <v>130</v>
      </c>
      <c r="I80" s="125">
        <v>130</v>
      </c>
      <c r="J80" s="125">
        <v>130</v>
      </c>
      <c r="K80" s="125">
        <v>130</v>
      </c>
      <c r="L80" s="125">
        <v>130</v>
      </c>
      <c r="M80" s="125">
        <v>130</v>
      </c>
      <c r="N80" s="125">
        <v>130</v>
      </c>
      <c r="O80" s="125">
        <v>130</v>
      </c>
      <c r="P80" s="125">
        <v>130</v>
      </c>
      <c r="Q80" s="125">
        <v>130</v>
      </c>
      <c r="R80" s="125">
        <v>130</v>
      </c>
      <c r="S80" s="125">
        <v>130</v>
      </c>
      <c r="T80" s="125">
        <v>130</v>
      </c>
      <c r="U80" s="184"/>
    </row>
    <row r="81" spans="1:21" s="196" customFormat="1" ht="24.95" customHeight="1">
      <c r="A81" s="175" t="s">
        <v>650</v>
      </c>
      <c r="B81" s="193" t="s">
        <v>269</v>
      </c>
      <c r="C81" s="121" t="s">
        <v>90</v>
      </c>
      <c r="D81" s="136"/>
      <c r="E81" s="136"/>
      <c r="F81" s="136"/>
      <c r="G81" s="136"/>
      <c r="H81" s="125">
        <v>82</v>
      </c>
      <c r="I81" s="125">
        <v>93</v>
      </c>
      <c r="J81" s="125">
        <v>99</v>
      </c>
      <c r="K81" s="125">
        <v>106</v>
      </c>
      <c r="L81" s="125">
        <v>120</v>
      </c>
      <c r="M81" s="125">
        <v>120</v>
      </c>
      <c r="N81" s="125">
        <v>125</v>
      </c>
      <c r="O81" s="125">
        <v>125</v>
      </c>
      <c r="P81" s="125">
        <v>126</v>
      </c>
      <c r="Q81" s="125">
        <v>126</v>
      </c>
      <c r="R81" s="125">
        <v>126</v>
      </c>
      <c r="S81" s="125">
        <v>128</v>
      </c>
      <c r="T81" s="125">
        <v>130</v>
      </c>
      <c r="U81" s="184"/>
    </row>
    <row r="82" spans="1:21" s="187" customFormat="1" ht="24.95" customHeight="1">
      <c r="A82" s="175" t="s">
        <v>651</v>
      </c>
      <c r="B82" s="193" t="s">
        <v>270</v>
      </c>
      <c r="C82" s="121" t="s">
        <v>90</v>
      </c>
      <c r="D82" s="136"/>
      <c r="E82" s="136"/>
      <c r="F82" s="136"/>
      <c r="G82" s="136"/>
      <c r="H82" s="125"/>
      <c r="I82" s="125"/>
      <c r="J82" s="125"/>
      <c r="K82" s="125">
        <v>5</v>
      </c>
      <c r="L82" s="125">
        <v>14</v>
      </c>
      <c r="M82" s="125">
        <v>34</v>
      </c>
      <c r="N82" s="125">
        <v>79</v>
      </c>
      <c r="O82" s="125">
        <v>80</v>
      </c>
      <c r="P82" s="125">
        <v>85</v>
      </c>
      <c r="Q82" s="125">
        <v>86</v>
      </c>
      <c r="R82" s="125">
        <v>87</v>
      </c>
      <c r="S82" s="125">
        <v>93</v>
      </c>
      <c r="T82" s="125">
        <v>100</v>
      </c>
      <c r="U82" s="186"/>
    </row>
    <row r="83" spans="1:21" s="184" customFormat="1" ht="24.95" customHeight="1">
      <c r="A83" s="272">
        <v>10</v>
      </c>
      <c r="B83" s="173" t="s">
        <v>271</v>
      </c>
      <c r="C83" s="174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</row>
    <row r="84" spans="1:21" s="186" customFormat="1" ht="24.95" customHeight="1">
      <c r="A84" s="273" t="s">
        <v>652</v>
      </c>
      <c r="B84" s="171" t="s">
        <v>272</v>
      </c>
      <c r="C84" s="175" t="s">
        <v>118</v>
      </c>
      <c r="D84" s="125">
        <v>9</v>
      </c>
      <c r="E84" s="125">
        <v>9</v>
      </c>
      <c r="F84" s="125">
        <v>11</v>
      </c>
      <c r="G84" s="125">
        <v>13</v>
      </c>
      <c r="H84" s="125">
        <v>19</v>
      </c>
      <c r="I84" s="125">
        <v>28</v>
      </c>
      <c r="J84" s="125">
        <v>32</v>
      </c>
      <c r="K84" s="125">
        <v>36</v>
      </c>
      <c r="L84" s="125">
        <v>41</v>
      </c>
      <c r="M84" s="125">
        <v>47</v>
      </c>
      <c r="N84" s="125">
        <v>42</v>
      </c>
      <c r="O84" s="125">
        <v>60</v>
      </c>
      <c r="P84" s="125">
        <v>62</v>
      </c>
      <c r="Q84" s="125">
        <v>65</v>
      </c>
      <c r="R84" s="125">
        <v>67</v>
      </c>
      <c r="S84" s="125">
        <v>70</v>
      </c>
      <c r="T84" s="125">
        <v>89</v>
      </c>
    </row>
    <row r="85" spans="1:21" s="184" customFormat="1" ht="24.95" customHeight="1">
      <c r="A85" s="273" t="s">
        <v>653</v>
      </c>
      <c r="B85" s="185" t="s">
        <v>273</v>
      </c>
      <c r="C85" s="174" t="s">
        <v>90</v>
      </c>
      <c r="D85" s="125">
        <v>17</v>
      </c>
      <c r="E85" s="125">
        <v>19</v>
      </c>
      <c r="F85" s="125">
        <v>19</v>
      </c>
      <c r="G85" s="125">
        <v>23</v>
      </c>
      <c r="H85" s="125">
        <v>33</v>
      </c>
      <c r="I85" s="125">
        <v>42</v>
      </c>
      <c r="J85" s="125">
        <v>47</v>
      </c>
      <c r="K85" s="125">
        <v>51</v>
      </c>
      <c r="L85" s="125">
        <v>56</v>
      </c>
      <c r="M85" s="125">
        <v>61</v>
      </c>
      <c r="N85" s="125">
        <v>56</v>
      </c>
      <c r="O85" s="125">
        <v>75</v>
      </c>
      <c r="P85" s="125">
        <v>79</v>
      </c>
      <c r="Q85" s="125">
        <v>81</v>
      </c>
      <c r="R85" s="125">
        <v>82</v>
      </c>
      <c r="S85" s="125">
        <v>84</v>
      </c>
      <c r="T85" s="125">
        <v>94</v>
      </c>
    </row>
    <row r="86" spans="1:21" s="184" customFormat="1" ht="49.5" customHeight="1">
      <c r="A86" s="273" t="s">
        <v>670</v>
      </c>
      <c r="B86" s="171" t="s">
        <v>274</v>
      </c>
      <c r="C86" s="174" t="s">
        <v>90</v>
      </c>
      <c r="D86" s="189">
        <v>6</v>
      </c>
      <c r="E86" s="189">
        <v>6</v>
      </c>
      <c r="F86" s="189">
        <v>8</v>
      </c>
      <c r="G86" s="189">
        <v>10</v>
      </c>
      <c r="H86" s="189">
        <f>H84</f>
        <v>19</v>
      </c>
      <c r="I86" s="189">
        <v>20</v>
      </c>
      <c r="J86" s="189">
        <v>22</v>
      </c>
      <c r="K86" s="189">
        <v>25</v>
      </c>
      <c r="L86" s="189">
        <v>29</v>
      </c>
      <c r="M86" s="189">
        <v>33</v>
      </c>
      <c r="N86" s="189">
        <v>35</v>
      </c>
      <c r="O86" s="189">
        <v>42</v>
      </c>
      <c r="P86" s="189">
        <v>43</v>
      </c>
      <c r="Q86" s="189">
        <v>46</v>
      </c>
      <c r="R86" s="189">
        <v>47</v>
      </c>
      <c r="S86" s="189">
        <v>49</v>
      </c>
      <c r="T86" s="189">
        <v>62</v>
      </c>
    </row>
    <row r="87" spans="1:21" s="169" customFormat="1" ht="12.75">
      <c r="A87" s="176"/>
      <c r="B87" s="177"/>
      <c r="C87" s="178"/>
      <c r="D87" s="179"/>
      <c r="E87" s="179"/>
      <c r="F87" s="179"/>
      <c r="G87" s="179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</row>
    <row r="88" spans="1:21" ht="18" hidden="1" customHeight="1">
      <c r="B88" s="793" t="s">
        <v>275</v>
      </c>
      <c r="C88" s="793"/>
      <c r="D88" s="793"/>
      <c r="E88" s="793"/>
      <c r="F88" s="793"/>
      <c r="G88" s="793"/>
      <c r="H88" s="793"/>
      <c r="I88" s="793"/>
      <c r="J88" s="793"/>
      <c r="K88" s="793"/>
      <c r="L88" s="793"/>
      <c r="M88" s="793"/>
      <c r="N88" s="793"/>
      <c r="O88" s="793"/>
      <c r="P88" s="793"/>
      <c r="Q88" s="793"/>
      <c r="R88" s="793"/>
      <c r="S88" s="793"/>
      <c r="T88" s="793"/>
    </row>
    <row r="89" spans="1:21" ht="18" hidden="1" customHeight="1">
      <c r="N89" s="167"/>
    </row>
    <row r="90" spans="1:21" ht="18" hidden="1" customHeight="1">
      <c r="N90" s="167"/>
    </row>
    <row r="91" spans="1:21" ht="18" hidden="1" customHeight="1">
      <c r="I91" s="181"/>
      <c r="J91" s="181"/>
      <c r="K91" s="181"/>
      <c r="L91" s="181"/>
      <c r="M91" s="181"/>
      <c r="N91" s="181"/>
      <c r="O91" s="181"/>
      <c r="P91" s="181"/>
      <c r="Q91" s="181"/>
      <c r="R91" s="181"/>
      <c r="S91" s="181"/>
      <c r="T91" s="181"/>
    </row>
    <row r="92" spans="1:21" ht="18" hidden="1" customHeight="1">
      <c r="B92" s="167" t="s">
        <v>106</v>
      </c>
      <c r="J92" s="170">
        <f t="shared" ref="J92:T92" si="34">J62-I62</f>
        <v>20</v>
      </c>
      <c r="K92" s="170">
        <f t="shared" si="34"/>
        <v>20</v>
      </c>
      <c r="L92" s="170">
        <f t="shared" si="34"/>
        <v>25</v>
      </c>
      <c r="M92" s="170">
        <f t="shared" si="34"/>
        <v>25</v>
      </c>
      <c r="N92" s="170">
        <f t="shared" si="34"/>
        <v>30</v>
      </c>
      <c r="O92" s="170">
        <f t="shared" si="34"/>
        <v>35</v>
      </c>
      <c r="P92" s="170">
        <f t="shared" si="34"/>
        <v>35</v>
      </c>
      <c r="Q92" s="170">
        <f t="shared" si="34"/>
        <v>40</v>
      </c>
      <c r="R92" s="170">
        <f t="shared" si="34"/>
        <v>40</v>
      </c>
      <c r="S92" s="170">
        <f t="shared" si="34"/>
        <v>50</v>
      </c>
      <c r="T92" s="170">
        <f t="shared" si="34"/>
        <v>100</v>
      </c>
    </row>
    <row r="93" spans="1:21" ht="18" hidden="1" customHeight="1">
      <c r="B93" s="167" t="s">
        <v>170</v>
      </c>
      <c r="J93" s="170">
        <f t="shared" ref="J93:T93" si="35">J65-I65</f>
        <v>8</v>
      </c>
      <c r="K93" s="170">
        <f t="shared" si="35"/>
        <v>10</v>
      </c>
      <c r="L93" s="170">
        <f t="shared" si="35"/>
        <v>10</v>
      </c>
      <c r="M93" s="170">
        <f t="shared" si="35"/>
        <v>10</v>
      </c>
      <c r="N93" s="170">
        <f t="shared" si="35"/>
        <v>10</v>
      </c>
      <c r="O93" s="170">
        <f t="shared" si="35"/>
        <v>10</v>
      </c>
      <c r="P93" s="170">
        <f t="shared" si="35"/>
        <v>10</v>
      </c>
      <c r="Q93" s="170">
        <f t="shared" si="35"/>
        <v>10</v>
      </c>
      <c r="R93" s="170">
        <f t="shared" si="35"/>
        <v>10</v>
      </c>
      <c r="S93" s="170">
        <f t="shared" si="35"/>
        <v>10</v>
      </c>
      <c r="T93" s="170">
        <f t="shared" si="35"/>
        <v>102</v>
      </c>
    </row>
    <row r="94" spans="1:21" ht="18" hidden="1" customHeight="1">
      <c r="B94" s="167" t="s">
        <v>171</v>
      </c>
      <c r="J94" s="170">
        <f t="shared" ref="J94:T94" si="36">J68-I68</f>
        <v>10</v>
      </c>
      <c r="K94" s="170">
        <f t="shared" si="36"/>
        <v>10</v>
      </c>
      <c r="L94" s="170">
        <f t="shared" si="36"/>
        <v>10</v>
      </c>
      <c r="M94" s="170">
        <f t="shared" si="36"/>
        <v>10</v>
      </c>
      <c r="N94" s="170">
        <f t="shared" si="36"/>
        <v>10</v>
      </c>
      <c r="O94" s="170">
        <f t="shared" si="36"/>
        <v>10</v>
      </c>
      <c r="P94" s="170">
        <f t="shared" si="36"/>
        <v>10</v>
      </c>
      <c r="Q94" s="170">
        <f t="shared" si="36"/>
        <v>10</v>
      </c>
      <c r="R94" s="170">
        <f t="shared" si="36"/>
        <v>10</v>
      </c>
      <c r="S94" s="170">
        <f t="shared" si="36"/>
        <v>10</v>
      </c>
      <c r="T94" s="170">
        <f t="shared" si="36"/>
        <v>100</v>
      </c>
    </row>
    <row r="95" spans="1:21" ht="18" hidden="1" customHeight="1">
      <c r="B95" s="167" t="s">
        <v>172</v>
      </c>
      <c r="J95" s="170">
        <f t="shared" ref="J95:T95" si="37">J70-I70</f>
        <v>30</v>
      </c>
      <c r="K95" s="170">
        <f t="shared" si="37"/>
        <v>30</v>
      </c>
      <c r="L95" s="170">
        <f t="shared" si="37"/>
        <v>30</v>
      </c>
      <c r="M95" s="170">
        <f t="shared" si="37"/>
        <v>30</v>
      </c>
      <c r="N95" s="170">
        <f t="shared" si="37"/>
        <v>30</v>
      </c>
      <c r="O95" s="170">
        <f t="shared" si="37"/>
        <v>30</v>
      </c>
      <c r="P95" s="170">
        <f t="shared" si="37"/>
        <v>30</v>
      </c>
      <c r="Q95" s="170">
        <f t="shared" si="37"/>
        <v>30</v>
      </c>
      <c r="R95" s="170">
        <f t="shared" si="37"/>
        <v>30</v>
      </c>
      <c r="S95" s="170">
        <f t="shared" si="37"/>
        <v>30</v>
      </c>
      <c r="T95" s="170">
        <f t="shared" si="37"/>
        <v>100</v>
      </c>
    </row>
    <row r="96" spans="1:21" ht="18" hidden="1" customHeight="1">
      <c r="B96" s="167" t="s">
        <v>111</v>
      </c>
      <c r="J96" s="170">
        <f t="shared" ref="J96:T96" si="38">J72-I72</f>
        <v>5</v>
      </c>
      <c r="K96" s="170">
        <f t="shared" si="38"/>
        <v>5</v>
      </c>
      <c r="L96" s="170">
        <f t="shared" si="38"/>
        <v>5</v>
      </c>
      <c r="M96" s="170">
        <f t="shared" si="38"/>
        <v>5</v>
      </c>
      <c r="N96" s="170">
        <f t="shared" si="38"/>
        <v>5</v>
      </c>
      <c r="O96" s="170">
        <f t="shared" si="38"/>
        <v>3</v>
      </c>
      <c r="P96" s="170">
        <f t="shared" si="38"/>
        <v>3</v>
      </c>
      <c r="Q96" s="170">
        <f t="shared" si="38"/>
        <v>3</v>
      </c>
      <c r="R96" s="170">
        <f t="shared" si="38"/>
        <v>3</v>
      </c>
      <c r="S96" s="170">
        <f t="shared" si="38"/>
        <v>3</v>
      </c>
      <c r="T96" s="170">
        <f t="shared" si="38"/>
        <v>35</v>
      </c>
    </row>
    <row r="97" spans="1:20" ht="18" hidden="1" customHeight="1">
      <c r="B97" s="167" t="s">
        <v>173</v>
      </c>
      <c r="J97" s="170">
        <f t="shared" ref="J97:T97" si="39">J74-I74</f>
        <v>10</v>
      </c>
      <c r="K97" s="170">
        <f t="shared" si="39"/>
        <v>10</v>
      </c>
      <c r="L97" s="170">
        <f t="shared" si="39"/>
        <v>10</v>
      </c>
      <c r="M97" s="170">
        <f t="shared" si="39"/>
        <v>10</v>
      </c>
      <c r="N97" s="170">
        <f t="shared" si="39"/>
        <v>10</v>
      </c>
      <c r="O97" s="170">
        <f t="shared" si="39"/>
        <v>10</v>
      </c>
      <c r="P97" s="170">
        <f t="shared" si="39"/>
        <v>10</v>
      </c>
      <c r="Q97" s="170">
        <f t="shared" si="39"/>
        <v>10</v>
      </c>
      <c r="R97" s="170">
        <f t="shared" si="39"/>
        <v>10</v>
      </c>
      <c r="S97" s="170">
        <f t="shared" si="39"/>
        <v>10</v>
      </c>
      <c r="T97" s="170">
        <f t="shared" si="39"/>
        <v>68</v>
      </c>
    </row>
    <row r="98" spans="1:20" ht="18" hidden="1" customHeight="1">
      <c r="B98" s="167" t="s">
        <v>174</v>
      </c>
      <c r="J98" s="170">
        <f t="shared" ref="J98:T98" si="40">J75-I75</f>
        <v>5</v>
      </c>
      <c r="K98" s="170">
        <f t="shared" si="40"/>
        <v>3</v>
      </c>
      <c r="L98" s="170">
        <f t="shared" si="40"/>
        <v>3</v>
      </c>
      <c r="M98" s="170">
        <f t="shared" si="40"/>
        <v>4</v>
      </c>
      <c r="N98" s="170">
        <f t="shared" si="40"/>
        <v>3</v>
      </c>
      <c r="O98" s="170">
        <f t="shared" si="40"/>
        <v>3</v>
      </c>
      <c r="P98" s="170">
        <f t="shared" si="40"/>
        <v>3</v>
      </c>
      <c r="Q98" s="170">
        <f t="shared" si="40"/>
        <v>3</v>
      </c>
      <c r="R98" s="170">
        <f t="shared" si="40"/>
        <v>3</v>
      </c>
      <c r="S98" s="170">
        <f t="shared" si="40"/>
        <v>12</v>
      </c>
      <c r="T98" s="170">
        <f t="shared" si="40"/>
        <v>1</v>
      </c>
    </row>
    <row r="99" spans="1:20" ht="18" hidden="1" customHeight="1">
      <c r="N99" s="167"/>
    </row>
    <row r="100" spans="1:20" ht="18" hidden="1" customHeight="1">
      <c r="N100" s="167"/>
    </row>
    <row r="101" spans="1:20" ht="18" customHeight="1">
      <c r="N101" s="167"/>
    </row>
    <row r="102" spans="1:20" ht="18" customHeight="1">
      <c r="A102" s="175" t="s">
        <v>576</v>
      </c>
      <c r="B102" s="185" t="s">
        <v>106</v>
      </c>
      <c r="J102" s="170">
        <f t="shared" ref="J102:S102" si="41">J62-I62</f>
        <v>20</v>
      </c>
      <c r="K102" s="170">
        <f t="shared" si="41"/>
        <v>20</v>
      </c>
      <c r="L102" s="170">
        <f t="shared" si="41"/>
        <v>25</v>
      </c>
      <c r="M102" s="170">
        <f t="shared" si="41"/>
        <v>25</v>
      </c>
      <c r="N102" s="170">
        <f t="shared" si="41"/>
        <v>30</v>
      </c>
      <c r="O102" s="170">
        <f t="shared" si="41"/>
        <v>35</v>
      </c>
      <c r="P102" s="170">
        <f t="shared" si="41"/>
        <v>35</v>
      </c>
      <c r="Q102" s="170">
        <f t="shared" si="41"/>
        <v>40</v>
      </c>
      <c r="R102" s="170">
        <f t="shared" si="41"/>
        <v>40</v>
      </c>
      <c r="S102" s="170">
        <f t="shared" si="41"/>
        <v>50</v>
      </c>
      <c r="T102" s="170">
        <f>T62-S62</f>
        <v>100</v>
      </c>
    </row>
    <row r="103" spans="1:20" ht="18" customHeight="1">
      <c r="A103" s="175" t="s">
        <v>577</v>
      </c>
      <c r="B103" s="171" t="s">
        <v>264</v>
      </c>
      <c r="J103" s="170">
        <f t="shared" ref="J103:S103" si="42">J65-I65</f>
        <v>8</v>
      </c>
      <c r="K103" s="170">
        <f t="shared" si="42"/>
        <v>10</v>
      </c>
      <c r="L103" s="170">
        <f t="shared" si="42"/>
        <v>10</v>
      </c>
      <c r="M103" s="170">
        <f t="shared" si="42"/>
        <v>10</v>
      </c>
      <c r="N103" s="170">
        <f t="shared" si="42"/>
        <v>10</v>
      </c>
      <c r="O103" s="170">
        <f t="shared" si="42"/>
        <v>10</v>
      </c>
      <c r="P103" s="170">
        <f t="shared" si="42"/>
        <v>10</v>
      </c>
      <c r="Q103" s="170">
        <f t="shared" si="42"/>
        <v>10</v>
      </c>
      <c r="R103" s="170">
        <f t="shared" si="42"/>
        <v>10</v>
      </c>
      <c r="S103" s="170">
        <f t="shared" si="42"/>
        <v>10</v>
      </c>
      <c r="T103" s="170">
        <f>T65-S65</f>
        <v>102</v>
      </c>
    </row>
    <row r="104" spans="1:20" ht="18" customHeight="1">
      <c r="A104" s="175" t="s">
        <v>578</v>
      </c>
      <c r="B104" s="193" t="s">
        <v>112</v>
      </c>
      <c r="J104" s="170">
        <f t="shared" ref="J104:S104" si="43">J68-I68</f>
        <v>10</v>
      </c>
      <c r="K104" s="170">
        <f t="shared" si="43"/>
        <v>10</v>
      </c>
      <c r="L104" s="170">
        <f t="shared" si="43"/>
        <v>10</v>
      </c>
      <c r="M104" s="170">
        <f t="shared" si="43"/>
        <v>10</v>
      </c>
      <c r="N104" s="170">
        <f t="shared" si="43"/>
        <v>10</v>
      </c>
      <c r="O104" s="170">
        <f t="shared" si="43"/>
        <v>10</v>
      </c>
      <c r="P104" s="170">
        <f t="shared" si="43"/>
        <v>10</v>
      </c>
      <c r="Q104" s="170">
        <f t="shared" si="43"/>
        <v>10</v>
      </c>
      <c r="R104" s="170">
        <f t="shared" si="43"/>
        <v>10</v>
      </c>
      <c r="S104" s="170">
        <f t="shared" si="43"/>
        <v>10</v>
      </c>
      <c r="T104" s="170">
        <f>T68-S68</f>
        <v>100</v>
      </c>
    </row>
    <row r="105" spans="1:20" ht="18" customHeight="1">
      <c r="A105" s="175" t="s">
        <v>579</v>
      </c>
      <c r="B105" s="185" t="s">
        <v>229</v>
      </c>
      <c r="J105" s="170">
        <f t="shared" ref="J105:S105" si="44">J70-I70</f>
        <v>30</v>
      </c>
      <c r="K105" s="170">
        <f t="shared" si="44"/>
        <v>30</v>
      </c>
      <c r="L105" s="170">
        <f t="shared" si="44"/>
        <v>30</v>
      </c>
      <c r="M105" s="170">
        <f t="shared" si="44"/>
        <v>30</v>
      </c>
      <c r="N105" s="170">
        <f t="shared" si="44"/>
        <v>30</v>
      </c>
      <c r="O105" s="170">
        <f t="shared" si="44"/>
        <v>30</v>
      </c>
      <c r="P105" s="170">
        <f t="shared" si="44"/>
        <v>30</v>
      </c>
      <c r="Q105" s="170">
        <f t="shared" si="44"/>
        <v>30</v>
      </c>
      <c r="R105" s="170">
        <f t="shared" si="44"/>
        <v>30</v>
      </c>
      <c r="S105" s="170">
        <f t="shared" si="44"/>
        <v>30</v>
      </c>
      <c r="T105" s="170">
        <f>T70-S70</f>
        <v>100</v>
      </c>
    </row>
    <row r="106" spans="1:20" ht="18" customHeight="1">
      <c r="A106" s="175" t="s">
        <v>580</v>
      </c>
      <c r="B106" s="193" t="s">
        <v>145</v>
      </c>
      <c r="J106" s="170">
        <f t="shared" ref="J106:S106" si="45">J72-I72</f>
        <v>5</v>
      </c>
      <c r="K106" s="170">
        <f t="shared" si="45"/>
        <v>5</v>
      </c>
      <c r="L106" s="170">
        <f t="shared" si="45"/>
        <v>5</v>
      </c>
      <c r="M106" s="170">
        <f t="shared" si="45"/>
        <v>5</v>
      </c>
      <c r="N106" s="170">
        <f t="shared" si="45"/>
        <v>5</v>
      </c>
      <c r="O106" s="170">
        <f t="shared" si="45"/>
        <v>3</v>
      </c>
      <c r="P106" s="170">
        <f t="shared" si="45"/>
        <v>3</v>
      </c>
      <c r="Q106" s="170">
        <f t="shared" si="45"/>
        <v>3</v>
      </c>
      <c r="R106" s="170">
        <f t="shared" si="45"/>
        <v>3</v>
      </c>
      <c r="S106" s="170">
        <f t="shared" si="45"/>
        <v>3</v>
      </c>
      <c r="T106" s="170">
        <f>T72-S72</f>
        <v>35</v>
      </c>
    </row>
    <row r="107" spans="1:20" ht="18" customHeight="1">
      <c r="A107" s="175" t="s">
        <v>581</v>
      </c>
      <c r="B107" s="185" t="s">
        <v>265</v>
      </c>
      <c r="J107" s="170">
        <f t="shared" ref="J107:S107" si="46">J74-I74</f>
        <v>10</v>
      </c>
      <c r="K107" s="170">
        <f t="shared" si="46"/>
        <v>10</v>
      </c>
      <c r="L107" s="170">
        <f t="shared" si="46"/>
        <v>10</v>
      </c>
      <c r="M107" s="170">
        <f t="shared" si="46"/>
        <v>10</v>
      </c>
      <c r="N107" s="170">
        <f t="shared" si="46"/>
        <v>10</v>
      </c>
      <c r="O107" s="170">
        <f t="shared" si="46"/>
        <v>10</v>
      </c>
      <c r="P107" s="170">
        <f t="shared" si="46"/>
        <v>10</v>
      </c>
      <c r="Q107" s="170">
        <f t="shared" si="46"/>
        <v>10</v>
      </c>
      <c r="R107" s="170">
        <f t="shared" si="46"/>
        <v>10</v>
      </c>
      <c r="S107" s="170">
        <f t="shared" si="46"/>
        <v>10</v>
      </c>
      <c r="T107" s="170">
        <f>T74-S74</f>
        <v>68</v>
      </c>
    </row>
    <row r="108" spans="1:20" ht="18" customHeight="1">
      <c r="A108" s="175" t="s">
        <v>582</v>
      </c>
      <c r="B108" s="185" t="s">
        <v>669</v>
      </c>
      <c r="J108" s="170">
        <f t="shared" ref="J108:S108" si="47">J75-I75</f>
        <v>5</v>
      </c>
      <c r="K108" s="170">
        <f t="shared" si="47"/>
        <v>3</v>
      </c>
      <c r="L108" s="170">
        <f t="shared" si="47"/>
        <v>3</v>
      </c>
      <c r="M108" s="170">
        <f t="shared" si="47"/>
        <v>4</v>
      </c>
      <c r="N108" s="170">
        <f t="shared" si="47"/>
        <v>3</v>
      </c>
      <c r="O108" s="170">
        <f t="shared" si="47"/>
        <v>3</v>
      </c>
      <c r="P108" s="170">
        <f t="shared" si="47"/>
        <v>3</v>
      </c>
      <c r="Q108" s="170">
        <f t="shared" si="47"/>
        <v>3</v>
      </c>
      <c r="R108" s="170">
        <f t="shared" si="47"/>
        <v>3</v>
      </c>
      <c r="S108" s="170">
        <f t="shared" si="47"/>
        <v>12</v>
      </c>
      <c r="T108" s="170">
        <f>T75-S75</f>
        <v>1</v>
      </c>
    </row>
    <row r="109" spans="1:20" ht="18" customHeight="1">
      <c r="N109" s="167"/>
    </row>
    <row r="110" spans="1:20" ht="18" hidden="1" customHeight="1">
      <c r="I110" s="170"/>
      <c r="N110" s="167"/>
    </row>
    <row r="111" spans="1:20" ht="18" hidden="1" customHeight="1">
      <c r="I111" s="167">
        <f>I21/I10*100</f>
        <v>92.680249708444805</v>
      </c>
      <c r="N111" s="167"/>
    </row>
    <row r="112" spans="1:20" ht="18" hidden="1" customHeight="1">
      <c r="D112" s="93">
        <f t="shared" ref="D112:I112" si="48">D10*D13/100</f>
        <v>34062.839999999997</v>
      </c>
      <c r="E112" s="93">
        <f t="shared" si="48"/>
        <v>34409.379999999997</v>
      </c>
      <c r="F112" s="93">
        <f t="shared" si="48"/>
        <v>34619.375</v>
      </c>
      <c r="G112" s="93">
        <f t="shared" si="48"/>
        <v>35362.025999999998</v>
      </c>
      <c r="H112" s="93">
        <f t="shared" si="48"/>
        <v>37987.326999999997</v>
      </c>
      <c r="I112" s="93">
        <f t="shared" si="48"/>
        <v>39445.362000000001</v>
      </c>
      <c r="N112" s="167"/>
    </row>
    <row r="113" spans="4:14" ht="18" hidden="1" customHeight="1">
      <c r="D113" s="170">
        <f t="shared" ref="D113:I113" si="49">D21-D112</f>
        <v>3025.1600000000035</v>
      </c>
      <c r="E113" s="170">
        <f t="shared" si="49"/>
        <v>2014.6200000000026</v>
      </c>
      <c r="F113" s="170">
        <f t="shared" si="49"/>
        <v>1778.625</v>
      </c>
      <c r="G113" s="170">
        <f t="shared" si="49"/>
        <v>1724.974000000002</v>
      </c>
      <c r="H113" s="170">
        <f t="shared" si="49"/>
        <v>1766.6730000000025</v>
      </c>
      <c r="I113" s="170">
        <f t="shared" si="49"/>
        <v>1084.637999999999</v>
      </c>
      <c r="N113" s="167"/>
    </row>
    <row r="114" spans="4:14" ht="18" hidden="1" customHeight="1">
      <c r="D114" s="167">
        <f t="shared" ref="D114:I114" si="50">D9*D12/100</f>
        <v>8565.6</v>
      </c>
      <c r="E114" s="167">
        <f t="shared" si="50"/>
        <v>9077.7220000000016</v>
      </c>
      <c r="F114" s="167">
        <f t="shared" si="50"/>
        <v>9236.1600000000017</v>
      </c>
      <c r="G114" s="167">
        <f t="shared" si="50"/>
        <v>9891.7000000000007</v>
      </c>
      <c r="H114" s="167">
        <f t="shared" si="50"/>
        <v>10045.48</v>
      </c>
      <c r="I114" s="167">
        <f t="shared" si="50"/>
        <v>10350.521999999999</v>
      </c>
      <c r="N114" s="167"/>
    </row>
    <row r="115" spans="4:14" ht="18" hidden="1" customHeight="1">
      <c r="N115" s="167"/>
    </row>
    <row r="116" spans="4:14" ht="18" customHeight="1">
      <c r="N116" s="167"/>
    </row>
    <row r="117" spans="4:14" ht="18" customHeight="1">
      <c r="N117" s="167"/>
    </row>
    <row r="118" spans="4:14" ht="18" customHeight="1">
      <c r="N118" s="167"/>
    </row>
    <row r="119" spans="4:14" ht="18" customHeight="1">
      <c r="N119" s="167"/>
    </row>
    <row r="120" spans="4:14" ht="18" customHeight="1">
      <c r="N120" s="167"/>
    </row>
    <row r="121" spans="4:14" ht="18" customHeight="1">
      <c r="N121" s="167"/>
    </row>
    <row r="122" spans="4:14" ht="18" customHeight="1">
      <c r="N122" s="167"/>
    </row>
    <row r="123" spans="4:14" ht="18" customHeight="1">
      <c r="N123" s="167"/>
    </row>
    <row r="124" spans="4:14" ht="18" customHeight="1">
      <c r="N124" s="167"/>
    </row>
    <row r="125" spans="4:14" ht="18" customHeight="1">
      <c r="N125" s="167"/>
    </row>
    <row r="126" spans="4:14" ht="18" customHeight="1">
      <c r="N126" s="167"/>
    </row>
    <row r="127" spans="4:14" ht="18" customHeight="1">
      <c r="N127" s="167"/>
    </row>
    <row r="128" spans="4:14" ht="18" customHeight="1">
      <c r="N128" s="167"/>
    </row>
    <row r="129" spans="14:14" ht="18" customHeight="1">
      <c r="N129" s="167"/>
    </row>
    <row r="130" spans="14:14" ht="18" customHeight="1">
      <c r="N130" s="167"/>
    </row>
    <row r="131" spans="14:14" ht="18" customHeight="1">
      <c r="N131" s="167"/>
    </row>
    <row r="132" spans="14:14" ht="18" customHeight="1">
      <c r="N132" s="167"/>
    </row>
    <row r="133" spans="14:14" ht="18" customHeight="1">
      <c r="N133" s="167"/>
    </row>
    <row r="134" spans="14:14" ht="18" customHeight="1">
      <c r="N134" s="167"/>
    </row>
    <row r="135" spans="14:14" ht="18" customHeight="1">
      <c r="N135" s="167"/>
    </row>
    <row r="136" spans="14:14" ht="18" customHeight="1">
      <c r="N136" s="167"/>
    </row>
    <row r="137" spans="14:14" ht="18" customHeight="1">
      <c r="N137" s="167"/>
    </row>
    <row r="138" spans="14:14" ht="18" customHeight="1">
      <c r="N138" s="167"/>
    </row>
    <row r="139" spans="14:14" ht="18" customHeight="1">
      <c r="N139" s="167"/>
    </row>
    <row r="140" spans="14:14" ht="18" customHeight="1">
      <c r="N140" s="167"/>
    </row>
    <row r="141" spans="14:14" ht="18" customHeight="1">
      <c r="N141" s="167"/>
    </row>
    <row r="142" spans="14:14" ht="18" customHeight="1">
      <c r="N142" s="167"/>
    </row>
    <row r="143" spans="14:14" ht="18" customHeight="1">
      <c r="N143" s="167"/>
    </row>
    <row r="144" spans="14:14" ht="18" customHeight="1">
      <c r="N144" s="167"/>
    </row>
    <row r="145" spans="14:14" ht="18" customHeight="1">
      <c r="N145" s="167"/>
    </row>
    <row r="146" spans="14:14" ht="18" customHeight="1">
      <c r="N146" s="167"/>
    </row>
    <row r="147" spans="14:14" ht="18" customHeight="1">
      <c r="N147" s="167"/>
    </row>
    <row r="148" spans="14:14" ht="18" customHeight="1">
      <c r="N148" s="167"/>
    </row>
    <row r="149" spans="14:14" ht="18" customHeight="1">
      <c r="N149" s="167"/>
    </row>
    <row r="150" spans="14:14" ht="18" customHeight="1">
      <c r="N150" s="167"/>
    </row>
    <row r="151" spans="14:14" ht="18" customHeight="1">
      <c r="N151" s="167"/>
    </row>
    <row r="152" spans="14:14" ht="18" customHeight="1">
      <c r="N152" s="167"/>
    </row>
    <row r="153" spans="14:14" ht="18" customHeight="1">
      <c r="N153" s="167"/>
    </row>
    <row r="154" spans="14:14" ht="18" customHeight="1">
      <c r="N154" s="167"/>
    </row>
    <row r="155" spans="14:14" ht="18" customHeight="1">
      <c r="N155" s="167"/>
    </row>
    <row r="156" spans="14:14" ht="18" customHeight="1">
      <c r="N156" s="167"/>
    </row>
    <row r="157" spans="14:14" ht="18" customHeight="1">
      <c r="N157" s="167"/>
    </row>
    <row r="158" spans="14:14" ht="18" customHeight="1">
      <c r="N158" s="167"/>
    </row>
    <row r="159" spans="14:14" ht="18" customHeight="1">
      <c r="N159" s="167"/>
    </row>
    <row r="160" spans="14:14" ht="18" customHeight="1">
      <c r="N160" s="167"/>
    </row>
    <row r="161" spans="14:14" ht="18" customHeight="1">
      <c r="N161" s="167"/>
    </row>
    <row r="162" spans="14:14" ht="18" customHeight="1">
      <c r="N162" s="167"/>
    </row>
    <row r="163" spans="14:14" ht="18" customHeight="1">
      <c r="N163" s="167"/>
    </row>
    <row r="164" spans="14:14" ht="18" customHeight="1">
      <c r="N164" s="167"/>
    </row>
    <row r="165" spans="14:14" ht="18" customHeight="1">
      <c r="N165" s="167"/>
    </row>
    <row r="166" spans="14:14" ht="18" customHeight="1">
      <c r="N166" s="167"/>
    </row>
    <row r="167" spans="14:14" ht="18" customHeight="1">
      <c r="N167" s="167"/>
    </row>
    <row r="168" spans="14:14" ht="18" customHeight="1">
      <c r="N168" s="167"/>
    </row>
    <row r="169" spans="14:14" ht="18" customHeight="1">
      <c r="N169" s="167"/>
    </row>
    <row r="170" spans="14:14" ht="18" customHeight="1">
      <c r="N170" s="167"/>
    </row>
    <row r="171" spans="14:14" ht="18" customHeight="1">
      <c r="N171" s="167"/>
    </row>
    <row r="172" spans="14:14" ht="18" customHeight="1">
      <c r="N172" s="167"/>
    </row>
  </sheetData>
  <mergeCells count="8">
    <mergeCell ref="A2:A3"/>
    <mergeCell ref="A1:R1"/>
    <mergeCell ref="S1:T1"/>
    <mergeCell ref="B88:T88"/>
    <mergeCell ref="D2:I2"/>
    <mergeCell ref="J2:T2"/>
    <mergeCell ref="C2:C3"/>
    <mergeCell ref="B2:B3"/>
  </mergeCells>
  <phoneticPr fontId="40" type="noConversion"/>
  <printOptions horizontalCentered="1"/>
  <pageMargins left="0.19" right="0.18" top="0.46" bottom="0.42" header="0.19" footer="0.16"/>
  <pageSetup paperSize="8" orientation="landscape" horizontalDpi="300" verticalDpi="300" r:id="rId1"/>
  <headerFooter alignWithMargins="0">
    <oddFooter>&amp;C&amp;P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AR132"/>
  <sheetViews>
    <sheetView zoomScale="70" workbookViewId="0">
      <pane xSplit="3" ySplit="4" topLeftCell="D62" activePane="bottomRight" state="frozen"/>
      <selection activeCell="J81" sqref="J81"/>
      <selection pane="topRight" activeCell="J81" sqref="J81"/>
      <selection pane="bottomLeft" activeCell="J81" sqref="J81"/>
      <selection pane="bottomRight" activeCell="J81" sqref="J81"/>
    </sheetView>
  </sheetViews>
  <sheetFormatPr defaultRowHeight="18" customHeight="1"/>
  <cols>
    <col min="1" max="1" width="3.75" style="206" customWidth="1"/>
    <col min="2" max="2" width="36.5" style="206" customWidth="1"/>
    <col min="3" max="3" width="8.125" style="212" customWidth="1"/>
    <col min="4" max="20" width="8.125" style="206" customWidth="1"/>
    <col min="21" max="21" width="23.5" style="206" hidden="1" customWidth="1"/>
    <col min="22" max="39" width="0" style="206" hidden="1" customWidth="1"/>
    <col min="40" max="16384" width="9" style="206"/>
  </cols>
  <sheetData>
    <row r="1" spans="1:44" ht="27.75" customHeight="1">
      <c r="A1" s="795" t="s">
        <v>320</v>
      </c>
      <c r="B1" s="795"/>
      <c r="C1" s="795"/>
      <c r="D1" s="795"/>
      <c r="E1" s="795"/>
      <c r="F1" s="795"/>
      <c r="G1" s="795"/>
      <c r="H1" s="795"/>
      <c r="I1" s="795"/>
      <c r="J1" s="795"/>
      <c r="K1" s="795"/>
      <c r="L1" s="795"/>
      <c r="M1" s="795"/>
      <c r="N1" s="795"/>
      <c r="O1" s="795"/>
      <c r="P1" s="795"/>
      <c r="Q1" s="795"/>
      <c r="R1" s="795"/>
      <c r="S1" s="795"/>
      <c r="T1" s="795"/>
    </row>
    <row r="2" spans="1:44" ht="0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</row>
    <row r="3" spans="1:44" ht="17.25" customHeight="1">
      <c r="A3" s="796" t="s">
        <v>1</v>
      </c>
      <c r="B3" s="796" t="s">
        <v>2</v>
      </c>
      <c r="C3" s="796" t="s">
        <v>76</v>
      </c>
      <c r="D3" s="782" t="s">
        <v>175</v>
      </c>
      <c r="E3" s="782"/>
      <c r="F3" s="782"/>
      <c r="G3" s="782"/>
      <c r="H3" s="782"/>
      <c r="I3" s="782"/>
      <c r="J3" s="778" t="s">
        <v>176</v>
      </c>
      <c r="K3" s="779"/>
      <c r="L3" s="779"/>
      <c r="M3" s="779"/>
      <c r="N3" s="779"/>
      <c r="O3" s="779"/>
      <c r="P3" s="779"/>
      <c r="Q3" s="779"/>
      <c r="R3" s="779"/>
      <c r="S3" s="779"/>
      <c r="T3" s="780"/>
    </row>
    <row r="4" spans="1:44" ht="29.25" customHeight="1">
      <c r="A4" s="796"/>
      <c r="B4" s="796"/>
      <c r="C4" s="796"/>
      <c r="D4" s="124" t="s">
        <v>64</v>
      </c>
      <c r="E4" s="124" t="s">
        <v>65</v>
      </c>
      <c r="F4" s="124" t="s">
        <v>66</v>
      </c>
      <c r="G4" s="124" t="s">
        <v>67</v>
      </c>
      <c r="H4" s="124" t="s">
        <v>68</v>
      </c>
      <c r="I4" s="124" t="s">
        <v>69</v>
      </c>
      <c r="J4" s="124" t="s">
        <v>77</v>
      </c>
      <c r="K4" s="124" t="s">
        <v>78</v>
      </c>
      <c r="L4" s="124" t="s">
        <v>79</v>
      </c>
      <c r="M4" s="124" t="s">
        <v>80</v>
      </c>
      <c r="N4" s="124" t="s">
        <v>81</v>
      </c>
      <c r="O4" s="124" t="s">
        <v>82</v>
      </c>
      <c r="P4" s="124" t="s">
        <v>83</v>
      </c>
      <c r="Q4" s="124" t="s">
        <v>84</v>
      </c>
      <c r="R4" s="124" t="s">
        <v>85</v>
      </c>
      <c r="S4" s="124" t="s">
        <v>86</v>
      </c>
      <c r="T4" s="124" t="s">
        <v>87</v>
      </c>
      <c r="V4" s="124" t="s">
        <v>64</v>
      </c>
      <c r="W4" s="124" t="s">
        <v>65</v>
      </c>
      <c r="X4" s="124" t="s">
        <v>66</v>
      </c>
      <c r="Y4" s="124" t="s">
        <v>67</v>
      </c>
      <c r="Z4" s="124" t="s">
        <v>68</v>
      </c>
      <c r="AA4" s="124" t="s">
        <v>69</v>
      </c>
      <c r="AB4" s="124" t="s">
        <v>77</v>
      </c>
      <c r="AC4" s="124" t="s">
        <v>78</v>
      </c>
      <c r="AD4" s="124" t="s">
        <v>79</v>
      </c>
      <c r="AE4" s="124" t="s">
        <v>80</v>
      </c>
      <c r="AF4" s="124" t="s">
        <v>81</v>
      </c>
      <c r="AG4" s="124" t="s">
        <v>82</v>
      </c>
      <c r="AH4" s="124" t="s">
        <v>83</v>
      </c>
      <c r="AI4" s="124" t="s">
        <v>84</v>
      </c>
      <c r="AJ4" s="124" t="s">
        <v>85</v>
      </c>
      <c r="AK4" s="124" t="s">
        <v>86</v>
      </c>
      <c r="AL4" s="124" t="s">
        <v>87</v>
      </c>
      <c r="AN4" s="206">
        <v>2020</v>
      </c>
      <c r="AO4" s="206">
        <v>2025</v>
      </c>
      <c r="AP4" s="206">
        <v>2030</v>
      </c>
    </row>
    <row r="5" spans="1:44" s="223" customFormat="1" ht="24.95" customHeight="1">
      <c r="A5" s="221">
        <v>1</v>
      </c>
      <c r="B5" s="222" t="s">
        <v>277</v>
      </c>
      <c r="C5" s="221" t="s">
        <v>88</v>
      </c>
      <c r="D5" s="116">
        <v>28</v>
      </c>
      <c r="E5" s="116">
        <v>29</v>
      </c>
      <c r="F5" s="116">
        <v>29</v>
      </c>
      <c r="G5" s="116">
        <v>29</v>
      </c>
      <c r="H5" s="116">
        <v>31</v>
      </c>
      <c r="I5" s="116">
        <v>32</v>
      </c>
      <c r="J5" s="116">
        <v>32</v>
      </c>
      <c r="K5" s="116">
        <v>33</v>
      </c>
      <c r="L5" s="116">
        <v>35</v>
      </c>
      <c r="M5" s="116">
        <v>36</v>
      </c>
      <c r="N5" s="116">
        <v>37</v>
      </c>
      <c r="O5" s="116">
        <v>39</v>
      </c>
      <c r="P5" s="116">
        <v>43</v>
      </c>
      <c r="Q5" s="116">
        <v>44</v>
      </c>
      <c r="R5" s="116">
        <v>48</v>
      </c>
      <c r="S5" s="116">
        <v>51</v>
      </c>
      <c r="T5" s="116">
        <v>53</v>
      </c>
      <c r="AN5" s="225">
        <f>N7/N5*100</f>
        <v>60</v>
      </c>
      <c r="AO5" s="619">
        <f>S7/S5*100</f>
        <v>65</v>
      </c>
      <c r="AP5" s="619">
        <f>T7/T5*100</f>
        <v>69.811320754716974</v>
      </c>
    </row>
    <row r="6" spans="1:44" s="223" customFormat="1" ht="24.95" customHeight="1">
      <c r="A6" s="226" t="s">
        <v>671</v>
      </c>
      <c r="B6" s="224" t="s">
        <v>278</v>
      </c>
      <c r="C6" s="221"/>
      <c r="D6" s="121">
        <v>7</v>
      </c>
      <c r="E6" s="121">
        <v>7</v>
      </c>
      <c r="F6" s="121">
        <v>7</v>
      </c>
      <c r="G6" s="121">
        <v>7</v>
      </c>
      <c r="H6" s="125">
        <v>8</v>
      </c>
      <c r="I6" s="125">
        <v>8</v>
      </c>
      <c r="J6" s="125">
        <v>8</v>
      </c>
      <c r="K6" s="125">
        <v>8</v>
      </c>
      <c r="L6" s="125">
        <v>8</v>
      </c>
      <c r="M6" s="125">
        <v>8</v>
      </c>
      <c r="N6" s="125">
        <v>9</v>
      </c>
      <c r="O6" s="125">
        <v>9</v>
      </c>
      <c r="P6" s="125">
        <v>9</v>
      </c>
      <c r="Q6" s="125">
        <v>9</v>
      </c>
      <c r="R6" s="125">
        <v>9</v>
      </c>
      <c r="S6" s="125">
        <v>9</v>
      </c>
      <c r="T6" s="125">
        <v>9</v>
      </c>
      <c r="U6" s="225" t="s">
        <v>279</v>
      </c>
      <c r="AN6" s="617" t="s">
        <v>992</v>
      </c>
    </row>
    <row r="7" spans="1:44" s="225" customFormat="1" ht="24.95" customHeight="1">
      <c r="A7" s="226" t="s">
        <v>672</v>
      </c>
      <c r="B7" s="224" t="s">
        <v>280</v>
      </c>
      <c r="C7" s="226" t="s">
        <v>90</v>
      </c>
      <c r="D7" s="121">
        <v>1</v>
      </c>
      <c r="E7" s="121">
        <v>2</v>
      </c>
      <c r="F7" s="121">
        <v>3</v>
      </c>
      <c r="G7" s="121">
        <v>8</v>
      </c>
      <c r="H7" s="125">
        <v>15</v>
      </c>
      <c r="I7" s="125">
        <v>15</v>
      </c>
      <c r="J7" s="125">
        <v>15</v>
      </c>
      <c r="K7" s="125">
        <v>16</v>
      </c>
      <c r="L7" s="125">
        <v>18</v>
      </c>
      <c r="M7" s="125">
        <v>20</v>
      </c>
      <c r="N7" s="125">
        <f>N5*0.6</f>
        <v>22.2</v>
      </c>
      <c r="O7" s="125">
        <v>25</v>
      </c>
      <c r="P7" s="125">
        <v>27</v>
      </c>
      <c r="Q7" s="125">
        <v>29</v>
      </c>
      <c r="R7" s="125">
        <v>31</v>
      </c>
      <c r="S7" s="125">
        <f>S5*0.65</f>
        <v>33.15</v>
      </c>
      <c r="T7" s="125">
        <v>37</v>
      </c>
    </row>
    <row r="8" spans="1:44" s="153" customFormat="1" ht="17.25" customHeight="1">
      <c r="A8" s="104">
        <v>2</v>
      </c>
      <c r="B8" s="155" t="s">
        <v>92</v>
      </c>
      <c r="C8" s="104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</row>
    <row r="9" spans="1:44" ht="18" customHeight="1">
      <c r="A9" s="620"/>
      <c r="B9" s="620" t="s">
        <v>316</v>
      </c>
      <c r="C9" s="621"/>
      <c r="D9" s="625"/>
      <c r="E9" s="625"/>
      <c r="F9" s="625"/>
      <c r="G9" s="625"/>
      <c r="H9" s="622">
        <v>12644.621499999999</v>
      </c>
      <c r="I9" s="622">
        <v>12872.9475</v>
      </c>
      <c r="J9" s="622">
        <v>13099.1585</v>
      </c>
      <c r="K9" s="622">
        <v>13322.549499999999</v>
      </c>
      <c r="L9" s="622">
        <v>13543.7315</v>
      </c>
      <c r="M9" s="622">
        <v>13786.0635</v>
      </c>
      <c r="N9" s="622">
        <v>14023.9305</v>
      </c>
      <c r="O9" s="622">
        <v>14259.048000000001</v>
      </c>
      <c r="P9" s="622">
        <v>14491.9565</v>
      </c>
      <c r="Q9" s="622">
        <v>14722.397499999999</v>
      </c>
      <c r="R9" s="622">
        <v>14951.0995</v>
      </c>
      <c r="S9" s="622">
        <v>15186.451999999999</v>
      </c>
      <c r="T9" s="622">
        <v>16434.066999999999</v>
      </c>
      <c r="U9" s="794" t="s">
        <v>155</v>
      </c>
    </row>
    <row r="10" spans="1:44" ht="18" customHeight="1">
      <c r="A10" s="620"/>
      <c r="B10" s="620" t="s">
        <v>317</v>
      </c>
      <c r="C10" s="621"/>
      <c r="D10" s="625"/>
      <c r="E10" s="625"/>
      <c r="F10" s="625"/>
      <c r="G10" s="625"/>
      <c r="H10" s="94">
        <v>49394.734199999999</v>
      </c>
      <c r="I10" s="94">
        <v>50286.662999999993</v>
      </c>
      <c r="J10" s="94">
        <v>51170.3298</v>
      </c>
      <c r="K10" s="94">
        <v>52042.980599999995</v>
      </c>
      <c r="L10" s="94">
        <v>52907.002199999995</v>
      </c>
      <c r="M10" s="94">
        <v>53853.643799999998</v>
      </c>
      <c r="N10" s="94">
        <v>54782.843399999998</v>
      </c>
      <c r="O10" s="94">
        <v>55701.302399999993</v>
      </c>
      <c r="P10" s="94">
        <v>56611.132199999993</v>
      </c>
      <c r="Q10" s="94">
        <v>57511.322999999997</v>
      </c>
      <c r="R10" s="94">
        <v>58404.720599999993</v>
      </c>
      <c r="S10" s="94">
        <v>59324.097599999994</v>
      </c>
      <c r="T10" s="94">
        <v>64197.759599999998</v>
      </c>
      <c r="U10" s="794"/>
      <c r="AO10" s="206">
        <v>32</v>
      </c>
    </row>
    <row r="11" spans="1:44" s="225" customFormat="1" ht="24.95" customHeight="1">
      <c r="A11" s="221">
        <v>2</v>
      </c>
      <c r="B11" s="101" t="s">
        <v>680</v>
      </c>
      <c r="C11" s="102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AO11" s="225">
        <v>21</v>
      </c>
    </row>
    <row r="12" spans="1:44" s="225" customFormat="1" ht="24.95" customHeight="1">
      <c r="A12" s="226" t="s">
        <v>586</v>
      </c>
      <c r="B12" s="100" t="s">
        <v>281</v>
      </c>
      <c r="C12" s="226" t="s">
        <v>100</v>
      </c>
      <c r="D12" s="130">
        <v>50.8</v>
      </c>
      <c r="E12" s="130">
        <v>51.2</v>
      </c>
      <c r="F12" s="130">
        <v>51.3</v>
      </c>
      <c r="G12" s="130">
        <v>51.2</v>
      </c>
      <c r="H12" s="130">
        <v>52.04</v>
      </c>
      <c r="I12" s="130">
        <v>54.2</v>
      </c>
      <c r="J12" s="130">
        <v>55.2</v>
      </c>
      <c r="K12" s="130">
        <v>55.5</v>
      </c>
      <c r="L12" s="130">
        <v>55.6</v>
      </c>
      <c r="M12" s="130">
        <v>55.7</v>
      </c>
      <c r="N12" s="130">
        <v>55.8</v>
      </c>
      <c r="O12" s="130">
        <v>56</v>
      </c>
      <c r="P12" s="130">
        <v>56.1</v>
      </c>
      <c r="Q12" s="130">
        <v>56.3</v>
      </c>
      <c r="R12" s="130">
        <v>56.4</v>
      </c>
      <c r="S12" s="130">
        <v>56.8</v>
      </c>
      <c r="T12" s="130">
        <v>60</v>
      </c>
    </row>
    <row r="13" spans="1:44" s="225" customFormat="1" ht="24.95" customHeight="1">
      <c r="A13" s="226" t="s">
        <v>587</v>
      </c>
      <c r="B13" s="100" t="s">
        <v>678</v>
      </c>
      <c r="C13" s="226" t="s">
        <v>90</v>
      </c>
      <c r="D13" s="130">
        <v>51.2</v>
      </c>
      <c r="E13" s="130">
        <v>51.4</v>
      </c>
      <c r="F13" s="130">
        <v>51.6</v>
      </c>
      <c r="G13" s="130">
        <v>52.3</v>
      </c>
      <c r="H13" s="130">
        <v>54.5</v>
      </c>
      <c r="I13" s="130">
        <v>55.2</v>
      </c>
      <c r="J13" s="130">
        <v>56</v>
      </c>
      <c r="K13" s="606">
        <f>J13+3.5</f>
        <v>59.5</v>
      </c>
      <c r="L13" s="606">
        <f>K13+3.5</f>
        <v>63</v>
      </c>
      <c r="M13" s="606">
        <f>L13+3.5</f>
        <v>66.5</v>
      </c>
      <c r="N13" s="130">
        <v>70</v>
      </c>
      <c r="O13" s="130">
        <v>71</v>
      </c>
      <c r="P13" s="130">
        <v>71.5</v>
      </c>
      <c r="Q13" s="130">
        <v>72</v>
      </c>
      <c r="R13" s="130">
        <v>72.5</v>
      </c>
      <c r="S13" s="130">
        <v>73</v>
      </c>
      <c r="T13" s="130">
        <v>75</v>
      </c>
    </row>
    <row r="14" spans="1:44" s="227" customFormat="1" ht="24.95" customHeight="1">
      <c r="A14" s="226" t="s">
        <v>588</v>
      </c>
      <c r="B14" s="100" t="s">
        <v>282</v>
      </c>
      <c r="C14" s="226" t="s">
        <v>90</v>
      </c>
      <c r="D14" s="130">
        <v>40.200000000000003</v>
      </c>
      <c r="E14" s="130">
        <v>41.6</v>
      </c>
      <c r="F14" s="130">
        <v>40.299999999999997</v>
      </c>
      <c r="G14" s="130">
        <v>40.9</v>
      </c>
      <c r="H14" s="130">
        <v>40.9</v>
      </c>
      <c r="I14" s="130">
        <v>41.1</v>
      </c>
      <c r="J14" s="130">
        <v>41.5</v>
      </c>
      <c r="K14" s="130">
        <v>41.5</v>
      </c>
      <c r="L14" s="130">
        <v>41.6</v>
      </c>
      <c r="M14" s="130">
        <v>41.6</v>
      </c>
      <c r="N14" s="130">
        <v>41.7</v>
      </c>
      <c r="O14" s="130">
        <v>41.7</v>
      </c>
      <c r="P14" s="130">
        <v>41.8</v>
      </c>
      <c r="Q14" s="130">
        <v>41.8</v>
      </c>
      <c r="R14" s="130">
        <v>41.9</v>
      </c>
      <c r="S14" s="130">
        <v>41.9</v>
      </c>
      <c r="T14" s="130">
        <v>42</v>
      </c>
      <c r="U14" s="225"/>
    </row>
    <row r="15" spans="1:44" s="227" customFormat="1" ht="24.95" customHeight="1">
      <c r="A15" s="226" t="s">
        <v>673</v>
      </c>
      <c r="B15" s="100" t="s">
        <v>283</v>
      </c>
      <c r="C15" s="226" t="s">
        <v>90</v>
      </c>
      <c r="D15" s="130">
        <v>71.303495589676587</v>
      </c>
      <c r="E15" s="130">
        <v>75.454721988478227</v>
      </c>
      <c r="F15" s="130">
        <v>75.684083550250776</v>
      </c>
      <c r="G15" s="130">
        <v>76.941487686590676</v>
      </c>
      <c r="H15" s="130">
        <v>77.599999999999994</v>
      </c>
      <c r="I15" s="130">
        <v>77.668816638146637</v>
      </c>
      <c r="J15" s="130">
        <v>78</v>
      </c>
      <c r="K15" s="130">
        <v>78</v>
      </c>
      <c r="L15" s="130">
        <v>78.099999999999994</v>
      </c>
      <c r="M15" s="130">
        <v>78.099999999999994</v>
      </c>
      <c r="N15" s="130">
        <v>78.099999999999994</v>
      </c>
      <c r="O15" s="130">
        <v>78.2</v>
      </c>
      <c r="P15" s="130">
        <v>78.2</v>
      </c>
      <c r="Q15" s="130">
        <v>78.2</v>
      </c>
      <c r="R15" s="130">
        <v>78.2</v>
      </c>
      <c r="S15" s="130">
        <v>78.2</v>
      </c>
      <c r="T15" s="130">
        <v>78.5</v>
      </c>
      <c r="U15" s="225"/>
      <c r="AO15" s="227">
        <v>76</v>
      </c>
      <c r="AP15" s="227">
        <v>99</v>
      </c>
      <c r="AQ15" s="227">
        <v>73</v>
      </c>
      <c r="AR15" s="227">
        <v>15</v>
      </c>
    </row>
    <row r="16" spans="1:44" s="227" customFormat="1" ht="24.95" customHeight="1">
      <c r="A16" s="226" t="s">
        <v>674</v>
      </c>
      <c r="B16" s="224" t="s">
        <v>195</v>
      </c>
      <c r="C16" s="226" t="s">
        <v>90</v>
      </c>
      <c r="D16" s="130">
        <v>90.5</v>
      </c>
      <c r="E16" s="130">
        <v>91.1</v>
      </c>
      <c r="F16" s="130">
        <v>94.93</v>
      </c>
      <c r="G16" s="130">
        <v>94.4</v>
      </c>
      <c r="H16" s="130">
        <v>94.7</v>
      </c>
      <c r="I16" s="130">
        <v>95</v>
      </c>
      <c r="J16" s="130">
        <v>95.1</v>
      </c>
      <c r="K16" s="130">
        <v>95.25</v>
      </c>
      <c r="L16" s="130">
        <v>95.25</v>
      </c>
      <c r="M16" s="130">
        <v>95.25</v>
      </c>
      <c r="N16" s="130">
        <v>95.4</v>
      </c>
      <c r="O16" s="130">
        <v>95.4</v>
      </c>
      <c r="P16" s="130">
        <v>95.4</v>
      </c>
      <c r="Q16" s="130">
        <v>95.4</v>
      </c>
      <c r="R16" s="130">
        <v>95.4</v>
      </c>
      <c r="S16" s="130">
        <v>95.4</v>
      </c>
      <c r="T16" s="130">
        <v>96</v>
      </c>
      <c r="U16" s="225"/>
    </row>
    <row r="17" spans="1:40" s="227" customFormat="1" ht="24.95" customHeight="1">
      <c r="A17" s="226" t="s">
        <v>675</v>
      </c>
      <c r="B17" s="224" t="s">
        <v>196</v>
      </c>
      <c r="C17" s="226" t="s">
        <v>90</v>
      </c>
      <c r="D17" s="130">
        <v>4.7</v>
      </c>
      <c r="E17" s="130">
        <v>4.5999999999999996</v>
      </c>
      <c r="F17" s="130">
        <v>2.5</v>
      </c>
      <c r="G17" s="130">
        <v>2.4</v>
      </c>
      <c r="H17" s="130">
        <v>2.2999999999999998</v>
      </c>
      <c r="I17" s="130">
        <v>2.2000000000000002</v>
      </c>
      <c r="J17" s="130">
        <v>2.2000000000000002</v>
      </c>
      <c r="K17" s="130">
        <v>2.1</v>
      </c>
      <c r="L17" s="130">
        <v>2.1</v>
      </c>
      <c r="M17" s="130">
        <v>2.1</v>
      </c>
      <c r="N17" s="130">
        <v>2</v>
      </c>
      <c r="O17" s="130">
        <v>2</v>
      </c>
      <c r="P17" s="130">
        <v>2</v>
      </c>
      <c r="Q17" s="130">
        <v>2</v>
      </c>
      <c r="R17" s="130">
        <v>2</v>
      </c>
      <c r="S17" s="130">
        <v>2</v>
      </c>
      <c r="T17" s="130">
        <v>1.5</v>
      </c>
      <c r="U17" s="225"/>
    </row>
    <row r="18" spans="1:40" s="615" customFormat="1" ht="24.95" customHeight="1">
      <c r="A18" s="613" t="s">
        <v>676</v>
      </c>
      <c r="B18" s="614" t="s">
        <v>284</v>
      </c>
      <c r="C18" s="613" t="s">
        <v>90</v>
      </c>
      <c r="D18" s="606">
        <v>95.6</v>
      </c>
      <c r="E18" s="606">
        <v>97.5</v>
      </c>
      <c r="F18" s="606">
        <v>94.2</v>
      </c>
      <c r="G18" s="606">
        <v>98.1</v>
      </c>
      <c r="H18" s="606">
        <v>82.2</v>
      </c>
      <c r="I18" s="606">
        <v>92</v>
      </c>
      <c r="J18" s="606">
        <f>I18+1.2</f>
        <v>93.2</v>
      </c>
      <c r="K18" s="606">
        <f>J18+1.2</f>
        <v>94.4</v>
      </c>
      <c r="L18" s="606">
        <f>K18+1.2</f>
        <v>95.600000000000009</v>
      </c>
      <c r="M18" s="606">
        <f>L18+1.2</f>
        <v>96.800000000000011</v>
      </c>
      <c r="N18" s="606">
        <v>95</v>
      </c>
      <c r="O18" s="606">
        <v>95</v>
      </c>
      <c r="P18" s="606">
        <v>95</v>
      </c>
      <c r="Q18" s="606">
        <v>95</v>
      </c>
      <c r="R18" s="606">
        <v>95</v>
      </c>
      <c r="S18" s="606">
        <v>95</v>
      </c>
      <c r="T18" s="606">
        <v>95</v>
      </c>
      <c r="U18" s="606">
        <v>95</v>
      </c>
      <c r="V18" s="606">
        <v>95</v>
      </c>
      <c r="W18" s="606">
        <v>95</v>
      </c>
      <c r="X18" s="606">
        <v>95</v>
      </c>
      <c r="Y18" s="606">
        <v>95</v>
      </c>
      <c r="Z18" s="606">
        <v>95</v>
      </c>
      <c r="AA18" s="606">
        <v>95</v>
      </c>
      <c r="AB18" s="606">
        <v>95</v>
      </c>
      <c r="AC18" s="606">
        <v>95</v>
      </c>
      <c r="AD18" s="606">
        <v>95</v>
      </c>
      <c r="AE18" s="606">
        <v>95</v>
      </c>
      <c r="AF18" s="606">
        <v>95</v>
      </c>
      <c r="AG18" s="606">
        <v>95</v>
      </c>
      <c r="AH18" s="606">
        <v>95</v>
      </c>
      <c r="AI18" s="606">
        <v>95</v>
      </c>
      <c r="AJ18" s="606">
        <v>95</v>
      </c>
      <c r="AK18" s="606">
        <v>95</v>
      </c>
      <c r="AL18" s="606">
        <v>95</v>
      </c>
      <c r="AM18" s="606">
        <v>95</v>
      </c>
      <c r="AN18" s="615" t="s">
        <v>991</v>
      </c>
    </row>
    <row r="19" spans="1:40" s="227" customFormat="1" ht="24.95" customHeight="1">
      <c r="A19" s="226" t="s">
        <v>677</v>
      </c>
      <c r="B19" s="224" t="s">
        <v>198</v>
      </c>
      <c r="C19" s="226" t="s">
        <v>90</v>
      </c>
      <c r="D19" s="130">
        <v>4.8</v>
      </c>
      <c r="E19" s="130">
        <v>4.3</v>
      </c>
      <c r="F19" s="130">
        <v>2.57</v>
      </c>
      <c r="G19" s="130">
        <v>3.2</v>
      </c>
      <c r="H19" s="130">
        <v>3</v>
      </c>
      <c r="I19" s="130">
        <v>2.8</v>
      </c>
      <c r="J19" s="130">
        <v>2.7</v>
      </c>
      <c r="K19" s="130">
        <v>2.65</v>
      </c>
      <c r="L19" s="130">
        <v>2.65</v>
      </c>
      <c r="M19" s="130">
        <v>2.65</v>
      </c>
      <c r="N19" s="130">
        <v>2.6</v>
      </c>
      <c r="O19" s="130">
        <v>2.6</v>
      </c>
      <c r="P19" s="130">
        <v>2.6</v>
      </c>
      <c r="Q19" s="130">
        <v>2.6</v>
      </c>
      <c r="R19" s="130">
        <v>2.6</v>
      </c>
      <c r="S19" s="130">
        <v>2.6</v>
      </c>
      <c r="T19" s="130">
        <v>2.5</v>
      </c>
      <c r="U19" s="225"/>
    </row>
    <row r="20" spans="1:40" s="225" customFormat="1" ht="24.95" customHeight="1">
      <c r="A20" s="221">
        <v>3</v>
      </c>
      <c r="B20" s="222" t="s">
        <v>199</v>
      </c>
      <c r="C20" s="221" t="s">
        <v>94</v>
      </c>
      <c r="D20" s="136">
        <v>15305</v>
      </c>
      <c r="E20" s="136">
        <v>15449</v>
      </c>
      <c r="F20" s="136">
        <v>15751</v>
      </c>
      <c r="G20" s="136">
        <v>15877</v>
      </c>
      <c r="H20" s="136">
        <v>15384</v>
      </c>
      <c r="I20" s="136">
        <v>15194</v>
      </c>
      <c r="J20" s="136">
        <v>15680</v>
      </c>
      <c r="K20" s="136">
        <v>16250</v>
      </c>
      <c r="L20" s="136">
        <v>16900</v>
      </c>
      <c r="M20" s="136">
        <v>17500</v>
      </c>
      <c r="N20" s="136">
        <v>18200</v>
      </c>
      <c r="O20" s="136">
        <v>18800</v>
      </c>
      <c r="P20" s="136">
        <v>19300</v>
      </c>
      <c r="Q20" s="136">
        <v>20100</v>
      </c>
      <c r="R20" s="136">
        <v>20700</v>
      </c>
      <c r="S20" s="136">
        <v>21500</v>
      </c>
      <c r="T20" s="136">
        <v>25000</v>
      </c>
      <c r="U20" s="225" t="s">
        <v>285</v>
      </c>
    </row>
    <row r="21" spans="1:40" s="227" customFormat="1" ht="24.95" customHeight="1">
      <c r="A21" s="226" t="s">
        <v>589</v>
      </c>
      <c r="B21" s="228" t="s">
        <v>679</v>
      </c>
      <c r="C21" s="226" t="s">
        <v>90</v>
      </c>
      <c r="D21" s="125">
        <v>0</v>
      </c>
      <c r="E21" s="125">
        <v>0</v>
      </c>
      <c r="F21" s="125">
        <v>5300</v>
      </c>
      <c r="G21" s="125">
        <v>5062</v>
      </c>
      <c r="H21" s="125">
        <v>5674</v>
      </c>
      <c r="I21" s="125">
        <v>5759</v>
      </c>
      <c r="J21" s="125">
        <f t="shared" ref="J21:T21" si="0">J20*0.4</f>
        <v>6272</v>
      </c>
      <c r="K21" s="125">
        <f t="shared" si="0"/>
        <v>6500</v>
      </c>
      <c r="L21" s="125">
        <f t="shared" si="0"/>
        <v>6760</v>
      </c>
      <c r="M21" s="125">
        <f t="shared" si="0"/>
        <v>7000</v>
      </c>
      <c r="N21" s="125">
        <f t="shared" si="0"/>
        <v>7280</v>
      </c>
      <c r="O21" s="125">
        <f t="shared" si="0"/>
        <v>7520</v>
      </c>
      <c r="P21" s="125">
        <f t="shared" si="0"/>
        <v>7720</v>
      </c>
      <c r="Q21" s="125">
        <f t="shared" si="0"/>
        <v>8040</v>
      </c>
      <c r="R21" s="125">
        <f t="shared" si="0"/>
        <v>8280</v>
      </c>
      <c r="S21" s="125">
        <f t="shared" si="0"/>
        <v>8600</v>
      </c>
      <c r="T21" s="125">
        <f t="shared" si="0"/>
        <v>10000</v>
      </c>
      <c r="U21" s="225" t="s">
        <v>286</v>
      </c>
    </row>
    <row r="22" spans="1:40" s="227" customFormat="1" ht="24.95" customHeight="1">
      <c r="A22" s="226" t="s">
        <v>590</v>
      </c>
      <c r="B22" s="228" t="s">
        <v>202</v>
      </c>
      <c r="C22" s="226" t="s">
        <v>90</v>
      </c>
      <c r="D22" s="125">
        <v>5790</v>
      </c>
      <c r="E22" s="125">
        <v>5894.7</v>
      </c>
      <c r="F22" s="125">
        <v>6259.7</v>
      </c>
      <c r="G22" s="125">
        <v>6400.4</v>
      </c>
      <c r="H22" s="125">
        <v>6822.85</v>
      </c>
      <c r="I22" s="125">
        <v>7293.12</v>
      </c>
      <c r="J22" s="125">
        <v>7840</v>
      </c>
      <c r="K22" s="125">
        <v>9877.7577178800002</v>
      </c>
      <c r="L22" s="125">
        <v>11427.912475199999</v>
      </c>
      <c r="M22" s="125">
        <v>12650.220928619998</v>
      </c>
      <c r="N22" s="125">
        <v>16434.853020000002</v>
      </c>
      <c r="O22" s="125">
        <v>16710.390719999999</v>
      </c>
      <c r="P22" s="125">
        <v>16983.339659999998</v>
      </c>
      <c r="Q22" s="125">
        <v>17253.3969</v>
      </c>
      <c r="R22" s="125">
        <v>17521.416180000004</v>
      </c>
      <c r="S22" s="125">
        <v>17797.22928</v>
      </c>
      <c r="T22" s="125">
        <v>19259.327879999997</v>
      </c>
      <c r="U22" s="225" t="s">
        <v>287</v>
      </c>
    </row>
    <row r="23" spans="1:40" s="227" customFormat="1" ht="24.95" customHeight="1">
      <c r="A23" s="226" t="s">
        <v>591</v>
      </c>
      <c r="B23" s="228" t="s">
        <v>288</v>
      </c>
      <c r="C23" s="226" t="s">
        <v>90</v>
      </c>
      <c r="D23" s="125">
        <v>13</v>
      </c>
      <c r="E23" s="125">
        <v>7</v>
      </c>
      <c r="F23" s="125">
        <v>5</v>
      </c>
      <c r="G23" s="125">
        <v>7</v>
      </c>
      <c r="H23" s="125">
        <v>17</v>
      </c>
      <c r="I23" s="125">
        <v>19</v>
      </c>
      <c r="J23" s="125">
        <v>22</v>
      </c>
      <c r="K23" s="125">
        <v>25</v>
      </c>
      <c r="L23" s="125">
        <v>28</v>
      </c>
      <c r="M23" s="125">
        <v>32</v>
      </c>
      <c r="N23" s="125">
        <v>36</v>
      </c>
      <c r="O23" s="125">
        <v>40</v>
      </c>
      <c r="P23" s="125">
        <v>42</v>
      </c>
      <c r="Q23" s="125">
        <f>Q20*0.15/100</f>
        <v>30.15</v>
      </c>
      <c r="R23" s="125">
        <v>45</v>
      </c>
      <c r="S23" s="125">
        <v>48</v>
      </c>
      <c r="T23" s="125">
        <v>55</v>
      </c>
      <c r="U23" s="225"/>
    </row>
    <row r="24" spans="1:40" s="223" customFormat="1" ht="24.95" customHeight="1">
      <c r="A24" s="221">
        <v>4</v>
      </c>
      <c r="B24" s="222" t="s">
        <v>209</v>
      </c>
      <c r="C24" s="226" t="s">
        <v>105</v>
      </c>
      <c r="D24" s="136">
        <v>437</v>
      </c>
      <c r="E24" s="136">
        <v>469</v>
      </c>
      <c r="F24" s="136">
        <v>487</v>
      </c>
      <c r="G24" s="136">
        <v>501</v>
      </c>
      <c r="H24" s="136">
        <v>504</v>
      </c>
      <c r="I24" s="136">
        <v>505</v>
      </c>
      <c r="J24" s="136">
        <f>J20/30.8</f>
        <v>509.09090909090907</v>
      </c>
      <c r="K24" s="136">
        <f>K20/32</f>
        <v>507.8125</v>
      </c>
      <c r="L24" s="136">
        <f>L20/33</f>
        <v>512.12121212121212</v>
      </c>
      <c r="M24" s="136">
        <f>M20/34</f>
        <v>514.70588235294122</v>
      </c>
      <c r="N24" s="136">
        <f t="shared" ref="N24:T24" si="1">N20/35</f>
        <v>520</v>
      </c>
      <c r="O24" s="136">
        <f t="shared" si="1"/>
        <v>537.14285714285711</v>
      </c>
      <c r="P24" s="136">
        <f t="shared" si="1"/>
        <v>551.42857142857144</v>
      </c>
      <c r="Q24" s="136">
        <f t="shared" si="1"/>
        <v>574.28571428571433</v>
      </c>
      <c r="R24" s="136">
        <f t="shared" si="1"/>
        <v>591.42857142857144</v>
      </c>
      <c r="S24" s="136">
        <f t="shared" si="1"/>
        <v>614.28571428571433</v>
      </c>
      <c r="T24" s="136">
        <f t="shared" si="1"/>
        <v>714.28571428571433</v>
      </c>
      <c r="U24" s="225" t="s">
        <v>289</v>
      </c>
    </row>
    <row r="25" spans="1:40" s="223" customFormat="1" ht="24.95" customHeight="1">
      <c r="A25" s="226" t="s">
        <v>599</v>
      </c>
      <c r="B25" s="228" t="s">
        <v>252</v>
      </c>
      <c r="C25" s="226" t="s">
        <v>90</v>
      </c>
      <c r="D25" s="130">
        <f t="shared" ref="D25:T25" si="2">D20/D24</f>
        <v>35.022883295194511</v>
      </c>
      <c r="E25" s="130">
        <f t="shared" si="2"/>
        <v>32.940298507462686</v>
      </c>
      <c r="F25" s="130">
        <f t="shared" si="2"/>
        <v>32.342915811088297</v>
      </c>
      <c r="G25" s="130">
        <f t="shared" si="2"/>
        <v>31.690618762475051</v>
      </c>
      <c r="H25" s="130">
        <f t="shared" si="2"/>
        <v>30.523809523809526</v>
      </c>
      <c r="I25" s="130">
        <f t="shared" si="2"/>
        <v>30.087128712871287</v>
      </c>
      <c r="J25" s="130">
        <f t="shared" si="2"/>
        <v>30.8</v>
      </c>
      <c r="K25" s="130">
        <f t="shared" si="2"/>
        <v>32</v>
      </c>
      <c r="L25" s="130">
        <f t="shared" si="2"/>
        <v>33</v>
      </c>
      <c r="M25" s="130">
        <f t="shared" si="2"/>
        <v>34</v>
      </c>
      <c r="N25" s="130">
        <f t="shared" si="2"/>
        <v>35</v>
      </c>
      <c r="O25" s="130">
        <f t="shared" si="2"/>
        <v>35</v>
      </c>
      <c r="P25" s="130">
        <f t="shared" si="2"/>
        <v>35</v>
      </c>
      <c r="Q25" s="130">
        <f t="shared" si="2"/>
        <v>35</v>
      </c>
      <c r="R25" s="130">
        <f t="shared" si="2"/>
        <v>35</v>
      </c>
      <c r="S25" s="130">
        <f t="shared" si="2"/>
        <v>35</v>
      </c>
      <c r="T25" s="130">
        <f t="shared" si="2"/>
        <v>35</v>
      </c>
    </row>
    <row r="26" spans="1:40" s="223" customFormat="1" ht="24.95" customHeight="1">
      <c r="A26" s="226" t="s">
        <v>600</v>
      </c>
      <c r="B26" s="228" t="s">
        <v>290</v>
      </c>
      <c r="C26" s="226" t="s">
        <v>90</v>
      </c>
      <c r="D26" s="125">
        <v>40</v>
      </c>
      <c r="E26" s="125">
        <v>59</v>
      </c>
      <c r="F26" s="125">
        <v>71</v>
      </c>
      <c r="G26" s="125">
        <v>73</v>
      </c>
      <c r="H26" s="125">
        <v>73</v>
      </c>
      <c r="I26" s="125">
        <v>74</v>
      </c>
      <c r="J26" s="125">
        <v>78</v>
      </c>
      <c r="K26" s="125">
        <v>85</v>
      </c>
      <c r="L26" s="125">
        <v>85</v>
      </c>
      <c r="M26" s="125">
        <v>85</v>
      </c>
      <c r="N26" s="125">
        <v>85</v>
      </c>
      <c r="O26" s="125">
        <v>85</v>
      </c>
      <c r="P26" s="125">
        <v>85</v>
      </c>
      <c r="Q26" s="125">
        <v>85</v>
      </c>
      <c r="R26" s="125">
        <v>85</v>
      </c>
      <c r="S26" s="125">
        <v>85</v>
      </c>
      <c r="T26" s="125">
        <v>85</v>
      </c>
    </row>
    <row r="27" spans="1:40" s="223" customFormat="1" ht="24.95" customHeight="1">
      <c r="A27" s="226" t="s">
        <v>601</v>
      </c>
      <c r="B27" s="228" t="s">
        <v>291</v>
      </c>
      <c r="C27" s="226" t="s">
        <v>90</v>
      </c>
      <c r="D27" s="125">
        <v>22</v>
      </c>
      <c r="E27" s="125">
        <v>22</v>
      </c>
      <c r="F27" s="125">
        <v>22</v>
      </c>
      <c r="G27" s="125">
        <v>24</v>
      </c>
      <c r="H27" s="125">
        <v>25</v>
      </c>
      <c r="I27" s="125">
        <v>25</v>
      </c>
      <c r="J27" s="125">
        <v>26</v>
      </c>
      <c r="K27" s="125">
        <v>27</v>
      </c>
      <c r="L27" s="125">
        <v>27</v>
      </c>
      <c r="M27" s="125">
        <v>27</v>
      </c>
      <c r="N27" s="125">
        <v>27</v>
      </c>
      <c r="O27" s="125">
        <v>27</v>
      </c>
      <c r="P27" s="125">
        <v>27</v>
      </c>
      <c r="Q27" s="125">
        <v>27</v>
      </c>
      <c r="R27" s="125">
        <v>27</v>
      </c>
      <c r="S27" s="125">
        <v>27</v>
      </c>
      <c r="T27" s="125">
        <v>27</v>
      </c>
    </row>
    <row r="28" spans="1:40" s="225" customFormat="1" ht="24.95" customHeight="1">
      <c r="A28" s="221">
        <v>5</v>
      </c>
      <c r="B28" s="222" t="s">
        <v>215</v>
      </c>
      <c r="C28" s="221"/>
      <c r="D28" s="133">
        <f t="shared" ref="D28:T28" si="3">D29+D31+D52</f>
        <v>1444</v>
      </c>
      <c r="E28" s="133">
        <f t="shared" si="3"/>
        <v>1433</v>
      </c>
      <c r="F28" s="133">
        <f t="shared" si="3"/>
        <v>1544</v>
      </c>
      <c r="G28" s="133">
        <f t="shared" si="3"/>
        <v>1631</v>
      </c>
      <c r="H28" s="133">
        <f t="shared" si="3"/>
        <v>1609</v>
      </c>
      <c r="I28" s="133">
        <f t="shared" si="3"/>
        <v>1626</v>
      </c>
      <c r="J28" s="133">
        <f t="shared" si="3"/>
        <v>1659.4618181818182</v>
      </c>
      <c r="K28" s="133">
        <f t="shared" si="3"/>
        <v>1671.2731249999999</v>
      </c>
      <c r="L28" s="133">
        <f t="shared" si="3"/>
        <v>1710.8924242424241</v>
      </c>
      <c r="M28" s="133">
        <f t="shared" si="3"/>
        <v>1731.7047058823532</v>
      </c>
      <c r="N28" s="133">
        <f t="shared" si="3"/>
        <v>1758.8300000000002</v>
      </c>
      <c r="O28" s="133">
        <f t="shared" si="3"/>
        <v>1828.3528571428571</v>
      </c>
      <c r="P28" s="133">
        <f t="shared" si="3"/>
        <v>1920.7985714285714</v>
      </c>
      <c r="Q28" s="133">
        <f t="shared" si="3"/>
        <v>1988.8457142857144</v>
      </c>
      <c r="R28" s="133">
        <f t="shared" si="3"/>
        <v>2087.9485714285715</v>
      </c>
      <c r="S28" s="133">
        <f t="shared" si="3"/>
        <v>2185.5757142857142</v>
      </c>
      <c r="T28" s="133">
        <f t="shared" si="3"/>
        <v>2448.1557142857146</v>
      </c>
    </row>
    <row r="29" spans="1:40" s="227" customFormat="1" ht="24.95" customHeight="1">
      <c r="A29" s="226" t="s">
        <v>607</v>
      </c>
      <c r="B29" s="224" t="s">
        <v>614</v>
      </c>
      <c r="C29" s="226" t="s">
        <v>90</v>
      </c>
      <c r="D29" s="125">
        <v>85</v>
      </c>
      <c r="E29" s="125">
        <v>87</v>
      </c>
      <c r="F29" s="125">
        <v>89</v>
      </c>
      <c r="G29" s="125">
        <v>92</v>
      </c>
      <c r="H29" s="125">
        <v>91</v>
      </c>
      <c r="I29" s="125">
        <v>97</v>
      </c>
      <c r="J29" s="125">
        <f t="shared" ref="J29:T29" si="4">3.13*J5</f>
        <v>100.16</v>
      </c>
      <c r="K29" s="125">
        <f t="shared" si="4"/>
        <v>103.28999999999999</v>
      </c>
      <c r="L29" s="125">
        <f t="shared" si="4"/>
        <v>109.55</v>
      </c>
      <c r="M29" s="125">
        <f t="shared" si="4"/>
        <v>112.67999999999999</v>
      </c>
      <c r="N29" s="125">
        <f t="shared" si="4"/>
        <v>115.81</v>
      </c>
      <c r="O29" s="125">
        <f t="shared" si="4"/>
        <v>122.07</v>
      </c>
      <c r="P29" s="125">
        <f t="shared" si="4"/>
        <v>134.59</v>
      </c>
      <c r="Q29" s="125">
        <f t="shared" si="4"/>
        <v>137.72</v>
      </c>
      <c r="R29" s="125">
        <f t="shared" si="4"/>
        <v>150.24</v>
      </c>
      <c r="S29" s="125">
        <f t="shared" si="4"/>
        <v>159.63</v>
      </c>
      <c r="T29" s="125">
        <f t="shared" si="4"/>
        <v>165.89</v>
      </c>
      <c r="U29" s="225" t="s">
        <v>292</v>
      </c>
    </row>
    <row r="30" spans="1:40" s="227" customFormat="1" ht="24.95" customHeight="1">
      <c r="A30" s="221"/>
      <c r="B30" s="224" t="s">
        <v>635</v>
      </c>
      <c r="C30" s="226" t="s">
        <v>90</v>
      </c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225"/>
    </row>
    <row r="31" spans="1:40" s="227" customFormat="1" ht="24.95" customHeight="1">
      <c r="A31" s="226" t="s">
        <v>609</v>
      </c>
      <c r="B31" s="228" t="s">
        <v>645</v>
      </c>
      <c r="C31" s="226" t="s">
        <v>90</v>
      </c>
      <c r="D31" s="127">
        <f t="shared" ref="D31:I31" si="5">D32</f>
        <v>1045</v>
      </c>
      <c r="E31" s="127">
        <f t="shared" si="5"/>
        <v>1031</v>
      </c>
      <c r="F31" s="127">
        <f t="shared" si="5"/>
        <v>1124</v>
      </c>
      <c r="G31" s="127">
        <f t="shared" si="5"/>
        <v>1187</v>
      </c>
      <c r="H31" s="127">
        <f t="shared" si="5"/>
        <v>1164</v>
      </c>
      <c r="I31" s="127">
        <f t="shared" si="5"/>
        <v>1175</v>
      </c>
      <c r="J31" s="127">
        <f t="shared" ref="J31:T31" si="6">2.33*J24</f>
        <v>1186.1818181818182</v>
      </c>
      <c r="K31" s="127">
        <f t="shared" si="6"/>
        <v>1183.203125</v>
      </c>
      <c r="L31" s="127">
        <f t="shared" si="6"/>
        <v>1193.2424242424242</v>
      </c>
      <c r="M31" s="127">
        <f t="shared" si="6"/>
        <v>1199.2647058823532</v>
      </c>
      <c r="N31" s="127">
        <f t="shared" si="6"/>
        <v>1211.6000000000001</v>
      </c>
      <c r="O31" s="127">
        <f t="shared" si="6"/>
        <v>1251.5428571428572</v>
      </c>
      <c r="P31" s="127">
        <f t="shared" si="6"/>
        <v>1284.8285714285714</v>
      </c>
      <c r="Q31" s="127">
        <f t="shared" si="6"/>
        <v>1338.0857142857144</v>
      </c>
      <c r="R31" s="127">
        <f t="shared" si="6"/>
        <v>1378.0285714285715</v>
      </c>
      <c r="S31" s="127">
        <f t="shared" si="6"/>
        <v>1431.2857142857144</v>
      </c>
      <c r="T31" s="127">
        <f t="shared" si="6"/>
        <v>1664.2857142857144</v>
      </c>
      <c r="U31" s="225" t="s">
        <v>293</v>
      </c>
    </row>
    <row r="32" spans="1:40" s="227" customFormat="1" ht="24.95" customHeight="1">
      <c r="A32" s="221"/>
      <c r="B32" s="228" t="s">
        <v>217</v>
      </c>
      <c r="C32" s="226" t="s">
        <v>90</v>
      </c>
      <c r="D32" s="127">
        <f t="shared" ref="D32:T32" si="7">SUM(D33:D35)</f>
        <v>1045</v>
      </c>
      <c r="E32" s="127">
        <f t="shared" si="7"/>
        <v>1031</v>
      </c>
      <c r="F32" s="127">
        <f t="shared" si="7"/>
        <v>1124</v>
      </c>
      <c r="G32" s="127">
        <f t="shared" si="7"/>
        <v>1187</v>
      </c>
      <c r="H32" s="127">
        <f t="shared" si="7"/>
        <v>1164</v>
      </c>
      <c r="I32" s="127">
        <f t="shared" si="7"/>
        <v>1175</v>
      </c>
      <c r="J32" s="127">
        <f t="shared" si="7"/>
        <v>1186.181818181818</v>
      </c>
      <c r="K32" s="127">
        <f t="shared" si="7"/>
        <v>1183.203125</v>
      </c>
      <c r="L32" s="127">
        <f t="shared" si="7"/>
        <v>1193.2424242424242</v>
      </c>
      <c r="M32" s="127">
        <f t="shared" si="7"/>
        <v>1199.2647058823532</v>
      </c>
      <c r="N32" s="127">
        <f t="shared" si="7"/>
        <v>1211.6000000000004</v>
      </c>
      <c r="O32" s="127">
        <f t="shared" si="7"/>
        <v>1251.5428571428572</v>
      </c>
      <c r="P32" s="127">
        <f t="shared" si="7"/>
        <v>1284.8285714285714</v>
      </c>
      <c r="Q32" s="127">
        <f t="shared" si="7"/>
        <v>1338.0857142857144</v>
      </c>
      <c r="R32" s="127">
        <f t="shared" si="7"/>
        <v>1378.0285714285715</v>
      </c>
      <c r="S32" s="127">
        <f t="shared" si="7"/>
        <v>1431.2857142857144</v>
      </c>
      <c r="T32" s="127">
        <f t="shared" si="7"/>
        <v>1664.2857142857144</v>
      </c>
      <c r="U32" s="225"/>
    </row>
    <row r="33" spans="1:38" s="227" customFormat="1" ht="24.95" customHeight="1">
      <c r="A33" s="221"/>
      <c r="B33" s="276" t="s">
        <v>619</v>
      </c>
      <c r="C33" s="226" t="s">
        <v>90</v>
      </c>
      <c r="D33" s="125">
        <v>17</v>
      </c>
      <c r="E33" s="125">
        <v>18</v>
      </c>
      <c r="F33" s="125">
        <v>31</v>
      </c>
      <c r="G33" s="125">
        <v>36</v>
      </c>
      <c r="H33" s="125">
        <v>36</v>
      </c>
      <c r="I33" s="125">
        <v>40</v>
      </c>
      <c r="J33" s="125">
        <f t="shared" ref="J33:T35" si="8">AB33*J$31</f>
        <v>35.585454545454546</v>
      </c>
      <c r="K33" s="125">
        <f t="shared" si="8"/>
        <v>47.328125</v>
      </c>
      <c r="L33" s="125">
        <f t="shared" si="8"/>
        <v>59.662121212121214</v>
      </c>
      <c r="M33" s="125">
        <f t="shared" si="8"/>
        <v>71.955882352941188</v>
      </c>
      <c r="N33" s="125">
        <f t="shared" si="8"/>
        <v>84.812000000000012</v>
      </c>
      <c r="O33" s="125">
        <f t="shared" si="8"/>
        <v>100.12342857142858</v>
      </c>
      <c r="P33" s="125">
        <f t="shared" si="8"/>
        <v>115.63457142857142</v>
      </c>
      <c r="Q33" s="125">
        <f t="shared" si="8"/>
        <v>133.80857142857144</v>
      </c>
      <c r="R33" s="125">
        <f t="shared" si="8"/>
        <v>151.58314285714286</v>
      </c>
      <c r="S33" s="125">
        <f t="shared" si="8"/>
        <v>171.75428571428571</v>
      </c>
      <c r="T33" s="125">
        <f t="shared" si="8"/>
        <v>282.9285714285715</v>
      </c>
      <c r="U33" s="225"/>
      <c r="V33" s="229">
        <v>1.6267942583732056E-2</v>
      </c>
      <c r="W33" s="229">
        <v>1.7458777885548012E-2</v>
      </c>
      <c r="X33" s="229">
        <v>2.7580071174377226E-2</v>
      </c>
      <c r="Y33" s="229">
        <v>3.0328559393428812E-2</v>
      </c>
      <c r="Z33" s="229">
        <v>3.0927835051546393E-2</v>
      </c>
      <c r="AA33" s="229">
        <v>3.4042553191489362E-2</v>
      </c>
      <c r="AB33" s="229">
        <v>0.03</v>
      </c>
      <c r="AC33" s="229">
        <v>0.04</v>
      </c>
      <c r="AD33" s="229">
        <v>0.05</v>
      </c>
      <c r="AE33" s="229">
        <v>0.06</v>
      </c>
      <c r="AF33" s="229">
        <v>7.0000000000000007E-2</v>
      </c>
      <c r="AG33" s="229">
        <v>0.08</v>
      </c>
      <c r="AH33" s="229">
        <v>0.09</v>
      </c>
      <c r="AI33" s="229">
        <v>0.1</v>
      </c>
      <c r="AJ33" s="229">
        <v>0.11</v>
      </c>
      <c r="AK33" s="229">
        <v>0.12</v>
      </c>
      <c r="AL33" s="229">
        <v>0.17</v>
      </c>
    </row>
    <row r="34" spans="1:38" s="227" customFormat="1" ht="24.95" customHeight="1">
      <c r="A34" s="221"/>
      <c r="B34" s="276" t="s">
        <v>616</v>
      </c>
      <c r="C34" s="226" t="s">
        <v>90</v>
      </c>
      <c r="D34" s="125">
        <v>956</v>
      </c>
      <c r="E34" s="125">
        <v>955</v>
      </c>
      <c r="F34" s="125">
        <v>1047</v>
      </c>
      <c r="G34" s="125">
        <v>1119</v>
      </c>
      <c r="H34" s="125">
        <v>1096</v>
      </c>
      <c r="I34" s="125">
        <v>1110</v>
      </c>
      <c r="J34" s="125">
        <f t="shared" si="8"/>
        <v>1138.7345454545455</v>
      </c>
      <c r="K34" s="125">
        <f t="shared" si="8"/>
        <v>1135.875</v>
      </c>
      <c r="L34" s="125">
        <f t="shared" si="8"/>
        <v>1133.580303030303</v>
      </c>
      <c r="M34" s="125">
        <f t="shared" si="8"/>
        <v>1127.3088235294119</v>
      </c>
      <c r="N34" s="125">
        <f t="shared" si="8"/>
        <v>1126.7880000000002</v>
      </c>
      <c r="O34" s="125">
        <f t="shared" si="8"/>
        <v>1151.4194285714286</v>
      </c>
      <c r="P34" s="125">
        <f t="shared" si="8"/>
        <v>1169.194</v>
      </c>
      <c r="Q34" s="125">
        <f t="shared" si="8"/>
        <v>1204.277142857143</v>
      </c>
      <c r="R34" s="125">
        <f t="shared" si="8"/>
        <v>1226.4454285714287</v>
      </c>
      <c r="S34" s="125">
        <f t="shared" si="8"/>
        <v>1259.5314285714287</v>
      </c>
      <c r="T34" s="125">
        <f t="shared" si="8"/>
        <v>1381.3571428571429</v>
      </c>
      <c r="U34" s="225"/>
      <c r="V34" s="229">
        <v>0.91483253588516744</v>
      </c>
      <c r="W34" s="229">
        <v>0.92628516003879724</v>
      </c>
      <c r="X34" s="229">
        <v>0.93149466192170816</v>
      </c>
      <c r="Y34" s="229">
        <v>0.94271272114574556</v>
      </c>
      <c r="Z34" s="229">
        <v>0.94158075601374569</v>
      </c>
      <c r="AA34" s="229">
        <v>0.94468085106382982</v>
      </c>
      <c r="AB34" s="229">
        <v>0.96</v>
      </c>
      <c r="AC34" s="229">
        <v>0.96</v>
      </c>
      <c r="AD34" s="229">
        <v>0.95</v>
      </c>
      <c r="AE34" s="229">
        <v>0.94</v>
      </c>
      <c r="AF34" s="229">
        <v>0.93</v>
      </c>
      <c r="AG34" s="229">
        <v>0.92</v>
      </c>
      <c r="AH34" s="229">
        <v>0.91</v>
      </c>
      <c r="AI34" s="229">
        <v>0.9</v>
      </c>
      <c r="AJ34" s="229">
        <v>0.89</v>
      </c>
      <c r="AK34" s="229">
        <v>0.88</v>
      </c>
      <c r="AL34" s="229">
        <v>0.83</v>
      </c>
    </row>
    <row r="35" spans="1:38" s="227" customFormat="1" ht="24.95" customHeight="1">
      <c r="A35" s="221"/>
      <c r="B35" s="276" t="s">
        <v>617</v>
      </c>
      <c r="C35" s="226" t="s">
        <v>90</v>
      </c>
      <c r="D35" s="125">
        <v>72</v>
      </c>
      <c r="E35" s="125">
        <v>58</v>
      </c>
      <c r="F35" s="125">
        <v>46</v>
      </c>
      <c r="G35" s="125">
        <v>32</v>
      </c>
      <c r="H35" s="125">
        <v>32</v>
      </c>
      <c r="I35" s="125">
        <v>25</v>
      </c>
      <c r="J35" s="125">
        <f t="shared" si="8"/>
        <v>11.861818181818183</v>
      </c>
      <c r="K35" s="125">
        <f t="shared" si="8"/>
        <v>0</v>
      </c>
      <c r="L35" s="125">
        <f t="shared" si="8"/>
        <v>0</v>
      </c>
      <c r="M35" s="125">
        <f t="shared" si="8"/>
        <v>0</v>
      </c>
      <c r="N35" s="125">
        <f t="shared" si="8"/>
        <v>0</v>
      </c>
      <c r="O35" s="125">
        <f t="shared" si="8"/>
        <v>0</v>
      </c>
      <c r="P35" s="125">
        <f t="shared" si="8"/>
        <v>0</v>
      </c>
      <c r="Q35" s="125">
        <f t="shared" si="8"/>
        <v>0</v>
      </c>
      <c r="R35" s="125">
        <f t="shared" si="8"/>
        <v>0</v>
      </c>
      <c r="S35" s="125">
        <f t="shared" si="8"/>
        <v>0</v>
      </c>
      <c r="T35" s="125">
        <f t="shared" si="8"/>
        <v>0</v>
      </c>
      <c r="U35" s="225"/>
      <c r="V35" s="229">
        <v>6.8899521531100474E-2</v>
      </c>
      <c r="W35" s="229">
        <v>5.6256062075654707E-2</v>
      </c>
      <c r="X35" s="229">
        <v>4.0925266903914591E-2</v>
      </c>
      <c r="Y35" s="229">
        <v>2.6958719460825609E-2</v>
      </c>
      <c r="Z35" s="229">
        <v>2.7491408934707903E-2</v>
      </c>
      <c r="AA35" s="229">
        <v>2.1276595744680851E-2</v>
      </c>
      <c r="AB35" s="229">
        <v>0.01</v>
      </c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</row>
    <row r="36" spans="1:38" s="227" customFormat="1" ht="24.95" customHeight="1">
      <c r="A36" s="221"/>
      <c r="B36" s="228" t="s">
        <v>218</v>
      </c>
      <c r="C36" s="226" t="s">
        <v>90</v>
      </c>
      <c r="D36" s="127">
        <f t="shared" ref="D36:T36" si="9">SUM(D37:D51)</f>
        <v>1045</v>
      </c>
      <c r="E36" s="127">
        <f t="shared" si="9"/>
        <v>1031</v>
      </c>
      <c r="F36" s="127">
        <f t="shared" si="9"/>
        <v>1124</v>
      </c>
      <c r="G36" s="127">
        <f t="shared" si="9"/>
        <v>1187</v>
      </c>
      <c r="H36" s="127">
        <f t="shared" si="9"/>
        <v>1164</v>
      </c>
      <c r="I36" s="127">
        <f t="shared" si="9"/>
        <v>1175</v>
      </c>
      <c r="J36" s="127">
        <f t="shared" si="9"/>
        <v>1185.6480706238756</v>
      </c>
      <c r="K36" s="127">
        <f t="shared" si="9"/>
        <v>1183.203125</v>
      </c>
      <c r="L36" s="127">
        <f t="shared" si="9"/>
        <v>1193.2424242424245</v>
      </c>
      <c r="M36" s="127">
        <f t="shared" si="9"/>
        <v>1199.2647058823529</v>
      </c>
      <c r="N36" s="127">
        <f t="shared" si="9"/>
        <v>1211.6000000000001</v>
      </c>
      <c r="O36" s="127">
        <f t="shared" si="9"/>
        <v>1251.5428571428574</v>
      </c>
      <c r="P36" s="127">
        <f t="shared" si="9"/>
        <v>1284.828571428571</v>
      </c>
      <c r="Q36" s="127">
        <f t="shared" si="9"/>
        <v>1338.0857142857142</v>
      </c>
      <c r="R36" s="127">
        <f t="shared" si="9"/>
        <v>1378.0285714285717</v>
      </c>
      <c r="S36" s="127">
        <f t="shared" si="9"/>
        <v>1431.2857142857144</v>
      </c>
      <c r="T36" s="127">
        <f t="shared" si="9"/>
        <v>1664.2857142857144</v>
      </c>
      <c r="U36" s="225"/>
    </row>
    <row r="37" spans="1:38" s="227" customFormat="1" ht="24.95" customHeight="1">
      <c r="A37" s="221"/>
      <c r="B37" s="276" t="s">
        <v>682</v>
      </c>
      <c r="C37" s="226" t="s">
        <v>90</v>
      </c>
      <c r="D37" s="125">
        <v>164</v>
      </c>
      <c r="E37" s="125">
        <v>159</v>
      </c>
      <c r="F37" s="125">
        <v>176</v>
      </c>
      <c r="G37" s="125">
        <v>172</v>
      </c>
      <c r="H37" s="125">
        <v>167</v>
      </c>
      <c r="I37" s="125">
        <v>171</v>
      </c>
      <c r="J37" s="125">
        <f t="shared" ref="J37:J51" si="10">V37*J$31</f>
        <v>171.56373243424943</v>
      </c>
      <c r="K37" s="125">
        <f t="shared" ref="K37:K51" si="11">W37*K$31</f>
        <v>171.02727078006785</v>
      </c>
      <c r="L37" s="125">
        <f t="shared" ref="L37:L51" si="12">X37*L$31</f>
        <v>172.90607043967535</v>
      </c>
      <c r="M37" s="125">
        <f t="shared" ref="M37:M51" si="13">Y37*M$31</f>
        <v>173.52787097821434</v>
      </c>
      <c r="N37" s="125">
        <f t="shared" ref="N37:N51" si="14">Z37*N$31</f>
        <v>175.33693939651633</v>
      </c>
      <c r="O37" s="125">
        <f t="shared" ref="O37:O51" si="15">AA37*O$31</f>
        <v>181.18786899957479</v>
      </c>
      <c r="P37" s="125">
        <f t="shared" ref="P37:P51" si="16">AB37*P$31</f>
        <v>185.94982520331871</v>
      </c>
      <c r="Q37" s="125">
        <f t="shared" ref="Q37:Q51" si="17">AC37*Q$31</f>
        <v>193.67191750804005</v>
      </c>
      <c r="R37" s="125">
        <f t="shared" ref="R37:R51" si="18">AD37*R$31</f>
        <v>199.46366376287745</v>
      </c>
      <c r="S37" s="125">
        <f t="shared" ref="S37:S51" si="19">AE37*S$31</f>
        <v>207.16002884294335</v>
      </c>
      <c r="T37" s="125">
        <f t="shared" ref="T37:T51" si="20">AF37*T$31</f>
        <v>240.88912288235278</v>
      </c>
      <c r="U37" s="225"/>
      <c r="V37" s="230">
        <v>0.14463527412452051</v>
      </c>
      <c r="W37" s="230">
        <v>0.14454599313204811</v>
      </c>
      <c r="X37" s="230">
        <v>0.14490439405006186</v>
      </c>
      <c r="Y37" s="230">
        <v>0.1446952204355435</v>
      </c>
      <c r="Z37" s="230">
        <v>0.14471520253921782</v>
      </c>
      <c r="AA37" s="230">
        <v>0.14477160567494105</v>
      </c>
      <c r="AB37" s="230">
        <v>0.14472734288323411</v>
      </c>
      <c r="AC37" s="230">
        <v>0.14473805036579765</v>
      </c>
      <c r="AD37" s="230">
        <v>0.14474566630799093</v>
      </c>
      <c r="AE37" s="230">
        <v>0.14473701985234089</v>
      </c>
      <c r="AF37" s="230">
        <v>0.14474024550870981</v>
      </c>
    </row>
    <row r="38" spans="1:38" s="227" customFormat="1" ht="24.95" customHeight="1">
      <c r="A38" s="221"/>
      <c r="B38" s="276" t="s">
        <v>683</v>
      </c>
      <c r="C38" s="226" t="s">
        <v>90</v>
      </c>
      <c r="D38" s="125">
        <v>71</v>
      </c>
      <c r="E38" s="125">
        <v>71</v>
      </c>
      <c r="F38" s="125">
        <v>73</v>
      </c>
      <c r="G38" s="125">
        <v>76</v>
      </c>
      <c r="H38" s="125">
        <v>74</v>
      </c>
      <c r="I38" s="125">
        <v>76</v>
      </c>
      <c r="J38" s="125">
        <f t="shared" si="10"/>
        <v>76.02701604678137</v>
      </c>
      <c r="K38" s="125">
        <f t="shared" si="11"/>
        <v>75.862500774109719</v>
      </c>
      <c r="L38" s="125">
        <f t="shared" si="12"/>
        <v>76.721891977763917</v>
      </c>
      <c r="M38" s="125">
        <f t="shared" si="13"/>
        <v>76.955654775888874</v>
      </c>
      <c r="N38" s="125">
        <f t="shared" si="14"/>
        <v>77.777542741231301</v>
      </c>
      <c r="O38" s="125">
        <f t="shared" si="15"/>
        <v>80.374121597766532</v>
      </c>
      <c r="P38" s="125">
        <f t="shared" si="16"/>
        <v>82.478773205640778</v>
      </c>
      <c r="Q38" s="125">
        <f t="shared" si="17"/>
        <v>85.908888461220855</v>
      </c>
      <c r="R38" s="125">
        <f t="shared" si="18"/>
        <v>88.477353477281426</v>
      </c>
      <c r="S38" s="125">
        <f t="shared" si="19"/>
        <v>91.889952962776761</v>
      </c>
      <c r="T38" s="125">
        <f t="shared" si="20"/>
        <v>106.85244697764971</v>
      </c>
      <c r="U38" s="225"/>
      <c r="V38" s="230">
        <v>6.4093897648267548E-2</v>
      </c>
      <c r="W38" s="230">
        <v>6.4116210624536443E-2</v>
      </c>
      <c r="X38" s="230">
        <v>6.4296986445544588E-2</v>
      </c>
      <c r="Y38" s="230">
        <v>6.4169031572782864E-2</v>
      </c>
      <c r="Z38" s="230">
        <v>6.4194076214287965E-2</v>
      </c>
      <c r="AA38" s="230">
        <v>6.4220031410871806E-2</v>
      </c>
      <c r="AB38" s="230">
        <v>6.4194379732647536E-2</v>
      </c>
      <c r="AC38" s="230">
        <v>6.4202829119269098E-2</v>
      </c>
      <c r="AD38" s="230">
        <v>6.4205746754262813E-2</v>
      </c>
      <c r="AE38" s="230">
        <v>6.4200985202059815E-2</v>
      </c>
      <c r="AF38" s="230">
        <v>6.4203187025197242E-2</v>
      </c>
    </row>
    <row r="39" spans="1:38" s="227" customFormat="1" ht="24.95" customHeight="1">
      <c r="A39" s="221"/>
      <c r="B39" s="276" t="s">
        <v>684</v>
      </c>
      <c r="C39" s="226" t="s">
        <v>90</v>
      </c>
      <c r="D39" s="125">
        <v>72</v>
      </c>
      <c r="E39" s="125">
        <v>72</v>
      </c>
      <c r="F39" s="125">
        <v>75</v>
      </c>
      <c r="G39" s="125">
        <v>71</v>
      </c>
      <c r="H39" s="125">
        <v>73</v>
      </c>
      <c r="I39" s="125">
        <v>74</v>
      </c>
      <c r="J39" s="125">
        <f t="shared" si="10"/>
        <v>73.348801713568847</v>
      </c>
      <c r="K39" s="125">
        <f t="shared" si="11"/>
        <v>73.961851039902839</v>
      </c>
      <c r="L39" s="125">
        <f t="shared" si="12"/>
        <v>74.507897484663573</v>
      </c>
      <c r="M39" s="125">
        <f t="shared" si="13"/>
        <v>74.669197319009783</v>
      </c>
      <c r="N39" s="125">
        <f t="shared" si="14"/>
        <v>75.609443881339587</v>
      </c>
      <c r="O39" s="125">
        <f t="shared" si="15"/>
        <v>78.05816470947542</v>
      </c>
      <c r="P39" s="125">
        <f t="shared" si="16"/>
        <v>80.103347043832485</v>
      </c>
      <c r="Q39" s="125">
        <f t="shared" si="17"/>
        <v>83.460744755723042</v>
      </c>
      <c r="R39" s="125">
        <f t="shared" si="18"/>
        <v>85.93769486029143</v>
      </c>
      <c r="S39" s="125">
        <f t="shared" si="19"/>
        <v>89.255729302572348</v>
      </c>
      <c r="T39" s="125">
        <f t="shared" si="20"/>
        <v>103.79403825192166</v>
      </c>
      <c r="U39" s="225"/>
      <c r="V39" s="230">
        <v>6.1836052946754851E-2</v>
      </c>
      <c r="W39" s="230">
        <v>6.2509850994437524E-2</v>
      </c>
      <c r="X39" s="230">
        <v>6.2441542448482566E-2</v>
      </c>
      <c r="Y39" s="230">
        <v>6.2262482129891654E-2</v>
      </c>
      <c r="Z39" s="230">
        <v>6.240462519093725E-2</v>
      </c>
      <c r="AA39" s="230">
        <v>6.2369549923103819E-2</v>
      </c>
      <c r="AB39" s="230">
        <v>6.2345552414644241E-2</v>
      </c>
      <c r="AC39" s="230">
        <v>6.237324250956177E-2</v>
      </c>
      <c r="AD39" s="230">
        <v>6.2362781615769941E-2</v>
      </c>
      <c r="AE39" s="230">
        <v>6.236052551332532E-2</v>
      </c>
      <c r="AF39" s="230">
        <v>6.2365516546219017E-2</v>
      </c>
    </row>
    <row r="40" spans="1:38" s="227" customFormat="1" ht="24.95" customHeight="1">
      <c r="A40" s="221"/>
      <c r="B40" s="276" t="s">
        <v>685</v>
      </c>
      <c r="C40" s="226" t="s">
        <v>90</v>
      </c>
      <c r="D40" s="125">
        <v>165</v>
      </c>
      <c r="E40" s="125">
        <v>164</v>
      </c>
      <c r="F40" s="125">
        <v>180</v>
      </c>
      <c r="G40" s="125">
        <v>190</v>
      </c>
      <c r="H40" s="125">
        <v>182</v>
      </c>
      <c r="I40" s="125">
        <v>184</v>
      </c>
      <c r="J40" s="125">
        <f t="shared" si="10"/>
        <v>187.02945069011207</v>
      </c>
      <c r="K40" s="125">
        <f t="shared" si="11"/>
        <v>185.61563820723941</v>
      </c>
      <c r="L40" s="125">
        <f t="shared" si="12"/>
        <v>187.39665533760225</v>
      </c>
      <c r="M40" s="125">
        <f t="shared" si="13"/>
        <v>188.52334241771004</v>
      </c>
      <c r="N40" s="125">
        <f t="shared" si="14"/>
        <v>190.27084466085142</v>
      </c>
      <c r="O40" s="125">
        <f t="shared" si="15"/>
        <v>196.6125227882934</v>
      </c>
      <c r="P40" s="125">
        <f t="shared" si="16"/>
        <v>201.86207196966231</v>
      </c>
      <c r="Q40" s="125">
        <f t="shared" si="17"/>
        <v>210.19058860178478</v>
      </c>
      <c r="R40" s="125">
        <f t="shared" si="18"/>
        <v>216.48426280803409</v>
      </c>
      <c r="S40" s="125">
        <f t="shared" si="19"/>
        <v>224.85126326883505</v>
      </c>
      <c r="T40" s="125">
        <f t="shared" si="20"/>
        <v>261.44682044034073</v>
      </c>
      <c r="U40" s="225"/>
      <c r="V40" s="230">
        <v>0.15767350993188478</v>
      </c>
      <c r="W40" s="230">
        <v>0.15687554764296233</v>
      </c>
      <c r="X40" s="230">
        <v>0.15704826741856603</v>
      </c>
      <c r="Y40" s="230">
        <v>0.1571991083311377</v>
      </c>
      <c r="Z40" s="230">
        <v>0.15704097446422202</v>
      </c>
      <c r="AA40" s="230">
        <v>0.15709611673797527</v>
      </c>
      <c r="AB40" s="230">
        <v>0.15711206651111168</v>
      </c>
      <c r="AC40" s="230">
        <v>0.157083052571103</v>
      </c>
      <c r="AD40" s="230">
        <v>0.15709707860672997</v>
      </c>
      <c r="AE40" s="230">
        <v>0.15709739922964819</v>
      </c>
      <c r="AF40" s="230">
        <v>0.15709251013582703</v>
      </c>
    </row>
    <row r="41" spans="1:38" s="227" customFormat="1" ht="24.95" customHeight="1">
      <c r="A41" s="221"/>
      <c r="B41" s="276" t="s">
        <v>686</v>
      </c>
      <c r="C41" s="226" t="s">
        <v>90</v>
      </c>
      <c r="D41" s="125">
        <v>85</v>
      </c>
      <c r="E41" s="125">
        <v>85</v>
      </c>
      <c r="F41" s="125">
        <v>98</v>
      </c>
      <c r="G41" s="125">
        <v>104</v>
      </c>
      <c r="H41" s="125">
        <v>103</v>
      </c>
      <c r="I41" s="125">
        <v>103</v>
      </c>
      <c r="J41" s="125">
        <f t="shared" si="10"/>
        <v>104.29044395174064</v>
      </c>
      <c r="K41" s="125">
        <f t="shared" si="11"/>
        <v>104.14896064330038</v>
      </c>
      <c r="L41" s="125">
        <f t="shared" si="12"/>
        <v>104.84766411480157</v>
      </c>
      <c r="M41" s="125">
        <f t="shared" si="13"/>
        <v>105.46009426161412</v>
      </c>
      <c r="N41" s="125">
        <f t="shared" si="14"/>
        <v>106.55135581988543</v>
      </c>
      <c r="O41" s="125">
        <f t="shared" si="15"/>
        <v>110.03057667617361</v>
      </c>
      <c r="P41" s="125">
        <f t="shared" si="16"/>
        <v>112.97751462685848</v>
      </c>
      <c r="Q41" s="125">
        <f t="shared" si="17"/>
        <v>117.65814780796661</v>
      </c>
      <c r="R41" s="125">
        <f t="shared" si="18"/>
        <v>121.1645980762065</v>
      </c>
      <c r="S41" s="125">
        <f t="shared" si="19"/>
        <v>125.85210369332206</v>
      </c>
      <c r="T41" s="125">
        <f t="shared" si="20"/>
        <v>146.33823032186621</v>
      </c>
      <c r="U41" s="225"/>
      <c r="V41" s="230">
        <v>8.7921128408119789E-2</v>
      </c>
      <c r="W41" s="230">
        <v>8.8022891794931987E-2</v>
      </c>
      <c r="X41" s="230">
        <v>8.7867864890378955E-2</v>
      </c>
      <c r="Y41" s="230">
        <v>8.7937295031143572E-2</v>
      </c>
      <c r="Z41" s="230">
        <v>8.7942683905484834E-2</v>
      </c>
      <c r="AA41" s="230">
        <v>8.7915947942335773E-2</v>
      </c>
      <c r="AB41" s="230">
        <v>8.7931975626321393E-2</v>
      </c>
      <c r="AC41" s="230">
        <v>8.7930202491380671E-2</v>
      </c>
      <c r="AD41" s="230">
        <v>8.7926042020012599E-2</v>
      </c>
      <c r="AE41" s="230">
        <v>8.7929406712571545E-2</v>
      </c>
      <c r="AF41" s="230">
        <v>8.7928550407988262E-2</v>
      </c>
    </row>
    <row r="42" spans="1:38" s="227" customFormat="1" ht="24.95" customHeight="1">
      <c r="A42" s="221"/>
      <c r="B42" s="276" t="s">
        <v>687</v>
      </c>
      <c r="C42" s="226" t="s">
        <v>90</v>
      </c>
      <c r="D42" s="125">
        <v>71</v>
      </c>
      <c r="E42" s="125">
        <v>71</v>
      </c>
      <c r="F42" s="125">
        <v>87</v>
      </c>
      <c r="G42" s="125">
        <v>102</v>
      </c>
      <c r="H42" s="125">
        <v>99</v>
      </c>
      <c r="I42" s="125">
        <v>104</v>
      </c>
      <c r="J42" s="125">
        <f t="shared" si="10"/>
        <v>102.60200022926347</v>
      </c>
      <c r="K42" s="125">
        <f t="shared" si="11"/>
        <v>102.56788980789065</v>
      </c>
      <c r="L42" s="125">
        <f t="shared" si="12"/>
        <v>104.08851261574104</v>
      </c>
      <c r="M42" s="125">
        <f t="shared" si="13"/>
        <v>104.10256675246185</v>
      </c>
      <c r="N42" s="125">
        <f t="shared" si="14"/>
        <v>105.29757650735272</v>
      </c>
      <c r="O42" s="125">
        <f t="shared" si="15"/>
        <v>108.8612233165432</v>
      </c>
      <c r="P42" s="125">
        <f t="shared" si="16"/>
        <v>111.64938352441546</v>
      </c>
      <c r="Q42" s="125">
        <f t="shared" si="17"/>
        <v>116.31879299764503</v>
      </c>
      <c r="R42" s="125">
        <f t="shared" si="18"/>
        <v>119.80081792349326</v>
      </c>
      <c r="S42" s="125">
        <f t="shared" si="19"/>
        <v>124.40921898591525</v>
      </c>
      <c r="T42" s="125">
        <f t="shared" si="20"/>
        <v>144.67465879298157</v>
      </c>
      <c r="U42" s="225"/>
      <c r="V42" s="230">
        <v>8.6497700990335533E-2</v>
      </c>
      <c r="W42" s="230">
        <v>8.6686628559986822E-2</v>
      </c>
      <c r="X42" s="230">
        <v>8.7231655949398232E-2</v>
      </c>
      <c r="Y42" s="230">
        <v>8.6805328499906867E-2</v>
      </c>
      <c r="Z42" s="230">
        <v>8.6907871003097312E-2</v>
      </c>
      <c r="AA42" s="230">
        <v>8.6981618484134146E-2</v>
      </c>
      <c r="AB42" s="230">
        <v>8.6898272662379442E-2</v>
      </c>
      <c r="AC42" s="230">
        <v>8.69292540498703E-2</v>
      </c>
      <c r="AD42" s="230">
        <v>8.6936381732127962E-2</v>
      </c>
      <c r="AE42" s="230">
        <v>8.6921302814792559E-2</v>
      </c>
      <c r="AF42" s="230">
        <v>8.6928979532263598E-2</v>
      </c>
    </row>
    <row r="43" spans="1:38" s="227" customFormat="1" ht="24.95" customHeight="1">
      <c r="A43" s="221"/>
      <c r="B43" s="276" t="s">
        <v>688</v>
      </c>
      <c r="C43" s="226" t="s">
        <v>90</v>
      </c>
      <c r="D43" s="125">
        <v>77</v>
      </c>
      <c r="E43" s="125">
        <v>75</v>
      </c>
      <c r="F43" s="125">
        <v>80</v>
      </c>
      <c r="G43" s="125">
        <v>87</v>
      </c>
      <c r="H43" s="125">
        <v>85</v>
      </c>
      <c r="I43" s="125">
        <v>86</v>
      </c>
      <c r="J43" s="125">
        <f t="shared" si="10"/>
        <v>86.792750801226958</v>
      </c>
      <c r="K43" s="125">
        <f t="shared" si="11"/>
        <v>86.525829749047418</v>
      </c>
      <c r="L43" s="125">
        <f t="shared" si="12"/>
        <v>87.301517607421928</v>
      </c>
      <c r="M43" s="125">
        <f t="shared" si="13"/>
        <v>87.730846578906579</v>
      </c>
      <c r="N43" s="125">
        <f t="shared" si="14"/>
        <v>88.626762847397003</v>
      </c>
      <c r="O43" s="125">
        <f t="shared" si="15"/>
        <v>91.556895832589589</v>
      </c>
      <c r="P43" s="125">
        <f t="shared" si="16"/>
        <v>93.98847300449826</v>
      </c>
      <c r="Q43" s="125">
        <f t="shared" si="17"/>
        <v>97.883777785835917</v>
      </c>
      <c r="R43" s="125">
        <f t="shared" si="18"/>
        <v>100.80731922277516</v>
      </c>
      <c r="S43" s="125">
        <f t="shared" si="19"/>
        <v>104.70233085713581</v>
      </c>
      <c r="T43" s="125">
        <f t="shared" si="20"/>
        <v>121.7469528974208</v>
      </c>
      <c r="U43" s="225"/>
      <c r="V43" s="230">
        <v>7.3169854292879866E-2</v>
      </c>
      <c r="W43" s="230">
        <v>7.3128466212466617E-2</v>
      </c>
      <c r="X43" s="230">
        <v>7.3163269955682855E-2</v>
      </c>
      <c r="Y43" s="230">
        <v>7.3153863487009765E-2</v>
      </c>
      <c r="Z43" s="230">
        <v>7.3148533218386422E-2</v>
      </c>
      <c r="AA43" s="230">
        <v>7.3155222220359681E-2</v>
      </c>
      <c r="AB43" s="230">
        <v>7.3152539641918632E-2</v>
      </c>
      <c r="AC43" s="230">
        <v>7.3152098360221574E-2</v>
      </c>
      <c r="AD43" s="230">
        <v>7.3153286740833295E-2</v>
      </c>
      <c r="AE43" s="230">
        <v>7.3152641580991176E-2</v>
      </c>
      <c r="AF43" s="230">
        <v>7.3152675560682015E-2</v>
      </c>
    </row>
    <row r="44" spans="1:38" s="227" customFormat="1" ht="24.95" customHeight="1">
      <c r="A44" s="221"/>
      <c r="B44" s="276" t="s">
        <v>259</v>
      </c>
      <c r="C44" s="226" t="s">
        <v>90</v>
      </c>
      <c r="D44" s="125">
        <v>88</v>
      </c>
      <c r="E44" s="125">
        <v>86</v>
      </c>
      <c r="F44" s="125">
        <v>94</v>
      </c>
      <c r="G44" s="125">
        <v>103</v>
      </c>
      <c r="H44" s="125">
        <v>101</v>
      </c>
      <c r="I44" s="125">
        <v>99</v>
      </c>
      <c r="J44" s="125">
        <f t="shared" si="10"/>
        <v>96.080727272727287</v>
      </c>
      <c r="K44" s="125">
        <f t="shared" si="11"/>
        <v>90.750339286368487</v>
      </c>
      <c r="L44" s="125">
        <f t="shared" si="12"/>
        <v>90.394706001864677</v>
      </c>
      <c r="M44" s="125">
        <f t="shared" si="13"/>
        <v>85.757861427202698</v>
      </c>
      <c r="N44" s="125">
        <f t="shared" si="14"/>
        <v>87.57682780681651</v>
      </c>
      <c r="O44" s="125">
        <f t="shared" si="15"/>
        <v>88.119655859221979</v>
      </c>
      <c r="P44" s="125">
        <f t="shared" si="16"/>
        <v>90.762411853980154</v>
      </c>
      <c r="Q44" s="125">
        <f t="shared" si="17"/>
        <v>94.906137952742654</v>
      </c>
      <c r="R44" s="125">
        <f t="shared" si="18"/>
        <v>98.094222703987541</v>
      </c>
      <c r="S44" s="125">
        <f t="shared" si="19"/>
        <v>102.23932564991779</v>
      </c>
      <c r="T44" s="125">
        <f t="shared" si="20"/>
        <v>120.93795356639505</v>
      </c>
      <c r="U44" s="225"/>
      <c r="V44" s="230">
        <v>8.1000000000000003E-2</v>
      </c>
      <c r="W44" s="230">
        <v>7.6698867141995156E-2</v>
      </c>
      <c r="X44" s="230">
        <v>7.5755524749512013E-2</v>
      </c>
      <c r="Y44" s="230">
        <v>7.1508701128752697E-2</v>
      </c>
      <c r="Z44" s="230">
        <v>7.2281964185223258E-2</v>
      </c>
      <c r="AA44" s="230">
        <v>7.0408820086585E-2</v>
      </c>
      <c r="AB44" s="230">
        <v>7.0641651246176371E-2</v>
      </c>
      <c r="AC44" s="230">
        <v>7.0926800084256669E-2</v>
      </c>
      <c r="AD44" s="230">
        <v>7.1184462164159232E-2</v>
      </c>
      <c r="AE44" s="230">
        <v>7.1431807520653201E-2</v>
      </c>
      <c r="AF44" s="230">
        <v>7.2666581542039935E-2</v>
      </c>
    </row>
    <row r="45" spans="1:38" s="227" customFormat="1" ht="24.95" customHeight="1">
      <c r="A45" s="221"/>
      <c r="B45" s="276" t="s">
        <v>258</v>
      </c>
      <c r="C45" s="226" t="s">
        <v>90</v>
      </c>
      <c r="D45" s="125">
        <v>121</v>
      </c>
      <c r="E45" s="125">
        <v>114</v>
      </c>
      <c r="F45" s="125">
        <v>118</v>
      </c>
      <c r="G45" s="125">
        <v>130</v>
      </c>
      <c r="H45" s="125">
        <v>132</v>
      </c>
      <c r="I45" s="125">
        <v>125</v>
      </c>
      <c r="J45" s="125">
        <f t="shared" si="10"/>
        <v>130.20513731198412</v>
      </c>
      <c r="K45" s="125">
        <f t="shared" si="11"/>
        <v>129.97617270926023</v>
      </c>
      <c r="L45" s="125">
        <f t="shared" si="12"/>
        <v>129.66661738753535</v>
      </c>
      <c r="M45" s="125">
        <f t="shared" si="13"/>
        <v>131.23427397862608</v>
      </c>
      <c r="N45" s="125">
        <f t="shared" si="14"/>
        <v>132.44706716793752</v>
      </c>
      <c r="O45" s="125">
        <f t="shared" si="15"/>
        <v>136.59014935839542</v>
      </c>
      <c r="P45" s="125">
        <f t="shared" si="16"/>
        <v>140.42413782505162</v>
      </c>
      <c r="Q45" s="125">
        <f t="shared" si="17"/>
        <v>146.18466638301652</v>
      </c>
      <c r="R45" s="125">
        <f t="shared" si="18"/>
        <v>150.51773514842159</v>
      </c>
      <c r="S45" s="125">
        <f t="shared" si="19"/>
        <v>156.37752099908707</v>
      </c>
      <c r="T45" s="125">
        <f t="shared" si="20"/>
        <v>181.81358512854786</v>
      </c>
      <c r="U45" s="225"/>
      <c r="V45" s="230">
        <v>0.1097682794628928</v>
      </c>
      <c r="W45" s="230">
        <v>0.10985110668065572</v>
      </c>
      <c r="X45" s="230">
        <v>0.10866745495565093</v>
      </c>
      <c r="Y45" s="230">
        <v>0.10942894703306649</v>
      </c>
      <c r="Z45" s="230">
        <v>0.10931583622312439</v>
      </c>
      <c r="AA45" s="230">
        <v>0.10913741273728061</v>
      </c>
      <c r="AB45" s="230">
        <v>0.10929406533115717</v>
      </c>
      <c r="AC45" s="230">
        <v>0.10924910476385406</v>
      </c>
      <c r="AD45" s="230">
        <v>0.10922686094409728</v>
      </c>
      <c r="AE45" s="230">
        <v>0.10925667701303617</v>
      </c>
      <c r="AF45" s="230">
        <v>0.10924421424032917</v>
      </c>
    </row>
    <row r="46" spans="1:38" s="227" customFormat="1" ht="24.95" customHeight="1">
      <c r="A46" s="221"/>
      <c r="B46" s="276" t="s">
        <v>689</v>
      </c>
      <c r="C46" s="226" t="s">
        <v>90</v>
      </c>
      <c r="D46" s="125">
        <v>27</v>
      </c>
      <c r="E46" s="125">
        <v>28</v>
      </c>
      <c r="F46" s="125">
        <v>29</v>
      </c>
      <c r="G46" s="125">
        <v>28</v>
      </c>
      <c r="H46" s="125">
        <v>27</v>
      </c>
      <c r="I46" s="125">
        <v>28</v>
      </c>
      <c r="J46" s="125">
        <f t="shared" si="10"/>
        <v>27.920562355408073</v>
      </c>
      <c r="K46" s="125">
        <f t="shared" si="11"/>
        <v>27.830453790453447</v>
      </c>
      <c r="L46" s="125">
        <f t="shared" si="12"/>
        <v>28.196020080470767</v>
      </c>
      <c r="M46" s="125">
        <f t="shared" si="13"/>
        <v>28.258359193280452</v>
      </c>
      <c r="N46" s="125">
        <f t="shared" si="14"/>
        <v>28.559068762778551</v>
      </c>
      <c r="O46" s="125">
        <f t="shared" si="15"/>
        <v>29.521471409343764</v>
      </c>
      <c r="P46" s="125">
        <f t="shared" si="16"/>
        <v>30.288763289151191</v>
      </c>
      <c r="Q46" s="125">
        <f t="shared" si="17"/>
        <v>31.549205275566599</v>
      </c>
      <c r="R46" s="125">
        <f t="shared" si="18"/>
        <v>32.493957540082164</v>
      </c>
      <c r="S46" s="125">
        <f t="shared" si="19"/>
        <v>33.745931150920271</v>
      </c>
      <c r="T46" s="125">
        <f t="shared" si="20"/>
        <v>39.241223322775724</v>
      </c>
      <c r="U46" s="225"/>
      <c r="V46" s="230">
        <v>2.3538181016974923E-2</v>
      </c>
      <c r="W46" s="230">
        <v>2.3521281513225759E-2</v>
      </c>
      <c r="X46" s="230">
        <v>2.3629749921414412E-2</v>
      </c>
      <c r="Y46" s="230">
        <v>2.3563070817205031E-2</v>
      </c>
      <c r="Z46" s="230">
        <v>2.3571367417281733E-2</v>
      </c>
      <c r="AA46" s="230">
        <v>2.3588062718633725E-2</v>
      </c>
      <c r="AB46" s="230">
        <v>2.3574166984373496E-2</v>
      </c>
      <c r="AC46" s="230">
        <v>2.3577865706762985E-2</v>
      </c>
      <c r="AD46" s="230">
        <v>2.3580031803256737E-2</v>
      </c>
      <c r="AE46" s="230">
        <v>2.3577354831464406E-2</v>
      </c>
      <c r="AF46" s="230">
        <v>2.3578417447161378E-2</v>
      </c>
    </row>
    <row r="47" spans="1:38" s="227" customFormat="1" ht="24.95" customHeight="1">
      <c r="A47" s="221"/>
      <c r="B47" s="276" t="s">
        <v>690</v>
      </c>
      <c r="C47" s="226" t="s">
        <v>90</v>
      </c>
      <c r="D47" s="125">
        <v>10</v>
      </c>
      <c r="E47" s="125">
        <v>9</v>
      </c>
      <c r="F47" s="125">
        <v>9</v>
      </c>
      <c r="G47" s="125">
        <v>9</v>
      </c>
      <c r="H47" s="125">
        <v>9</v>
      </c>
      <c r="I47" s="125">
        <v>8</v>
      </c>
      <c r="J47" s="125">
        <f t="shared" si="10"/>
        <v>8.7471456208490839</v>
      </c>
      <c r="K47" s="125">
        <f t="shared" si="11"/>
        <v>8.643169655617406</v>
      </c>
      <c r="L47" s="125">
        <f t="shared" si="12"/>
        <v>8.5466404479757934</v>
      </c>
      <c r="M47" s="125">
        <f t="shared" si="13"/>
        <v>8.7312981640849383</v>
      </c>
      <c r="N47" s="125">
        <f t="shared" si="14"/>
        <v>8.7832795845982741</v>
      </c>
      <c r="O47" s="125">
        <f t="shared" si="15"/>
        <v>9.0496563569151718</v>
      </c>
      <c r="P47" s="125">
        <f t="shared" si="16"/>
        <v>9.319575136123639</v>
      </c>
      <c r="Q47" s="125">
        <f t="shared" si="17"/>
        <v>9.6938415336063066</v>
      </c>
      <c r="R47" s="125">
        <f t="shared" si="18"/>
        <v>9.981021905782038</v>
      </c>
      <c r="S47" s="125">
        <f t="shared" si="19"/>
        <v>10.372568828265413</v>
      </c>
      <c r="T47" s="125">
        <f t="shared" si="20"/>
        <v>12.057505886561263</v>
      </c>
      <c r="U47" s="225"/>
      <c r="V47" s="230">
        <v>7.3742030831805581E-3</v>
      </c>
      <c r="W47" s="230">
        <v>7.3048908281216768E-3</v>
      </c>
      <c r="X47" s="230">
        <v>7.162534849866703E-3</v>
      </c>
      <c r="Y47" s="230">
        <v>7.2805429203896465E-3</v>
      </c>
      <c r="Z47" s="230">
        <v>7.2493228661260093E-3</v>
      </c>
      <c r="AA47" s="230">
        <v>7.2308002121274535E-3</v>
      </c>
      <c r="AB47" s="230">
        <v>7.253555332881037E-3</v>
      </c>
      <c r="AC47" s="230">
        <v>7.2445594703781672E-3</v>
      </c>
      <c r="AD47" s="230">
        <v>7.2429716717955532E-3</v>
      </c>
      <c r="AE47" s="230">
        <v>7.2470288250182533E-3</v>
      </c>
      <c r="AF47" s="230">
        <v>7.244853322397324E-3</v>
      </c>
    </row>
    <row r="48" spans="1:38" s="227" customFormat="1" ht="24.95" customHeight="1">
      <c r="A48" s="221"/>
      <c r="B48" s="276" t="s">
        <v>691</v>
      </c>
      <c r="C48" s="226" t="s">
        <v>90</v>
      </c>
      <c r="D48" s="125">
        <v>29</v>
      </c>
      <c r="E48" s="125">
        <v>30</v>
      </c>
      <c r="F48" s="125">
        <v>36</v>
      </c>
      <c r="G48" s="125">
        <v>38</v>
      </c>
      <c r="H48" s="125">
        <v>37</v>
      </c>
      <c r="I48" s="125">
        <v>38</v>
      </c>
      <c r="J48" s="125">
        <f t="shared" si="10"/>
        <v>38.013508023390685</v>
      </c>
      <c r="K48" s="125">
        <f t="shared" si="11"/>
        <v>37.93125038705486</v>
      </c>
      <c r="L48" s="125">
        <f t="shared" si="12"/>
        <v>38.360945988881959</v>
      </c>
      <c r="M48" s="125">
        <f t="shared" si="13"/>
        <v>38.477827387944437</v>
      </c>
      <c r="N48" s="125">
        <f t="shared" si="14"/>
        <v>38.88877137061565</v>
      </c>
      <c r="O48" s="125">
        <f t="shared" si="15"/>
        <v>40.187060798883266</v>
      </c>
      <c r="P48" s="125">
        <f t="shared" si="16"/>
        <v>41.239386602820389</v>
      </c>
      <c r="Q48" s="125">
        <f t="shared" si="17"/>
        <v>42.954444230610427</v>
      </c>
      <c r="R48" s="125">
        <f t="shared" si="18"/>
        <v>44.238676738640713</v>
      </c>
      <c r="S48" s="125">
        <f t="shared" si="19"/>
        <v>45.94497648138838</v>
      </c>
      <c r="T48" s="125">
        <f t="shared" si="20"/>
        <v>53.426223488824853</v>
      </c>
      <c r="U48" s="225"/>
      <c r="V48" s="230">
        <v>3.2046948824133774E-2</v>
      </c>
      <c r="W48" s="230">
        <v>3.2058105312268222E-2</v>
      </c>
      <c r="X48" s="230">
        <v>3.2148493222772294E-2</v>
      </c>
      <c r="Y48" s="230">
        <v>3.2084515786391432E-2</v>
      </c>
      <c r="Z48" s="230">
        <v>3.2097038107143983E-2</v>
      </c>
      <c r="AA48" s="230">
        <v>3.2110015705435903E-2</v>
      </c>
      <c r="AB48" s="230">
        <v>3.2097189866323768E-2</v>
      </c>
      <c r="AC48" s="230">
        <v>3.2101414559634549E-2</v>
      </c>
      <c r="AD48" s="230">
        <v>3.2102873377131406E-2</v>
      </c>
      <c r="AE48" s="230">
        <v>3.2100492601029908E-2</v>
      </c>
      <c r="AF48" s="230">
        <v>3.2101593512598621E-2</v>
      </c>
    </row>
    <row r="49" spans="1:38" s="227" customFormat="1" ht="24.95" customHeight="1">
      <c r="A49" s="221"/>
      <c r="B49" s="276" t="s">
        <v>641</v>
      </c>
      <c r="C49" s="226" t="s">
        <v>90</v>
      </c>
      <c r="D49" s="125">
        <v>61</v>
      </c>
      <c r="E49" s="125">
        <v>63</v>
      </c>
      <c r="F49" s="125">
        <v>65</v>
      </c>
      <c r="G49" s="125">
        <v>68</v>
      </c>
      <c r="H49" s="125">
        <v>67</v>
      </c>
      <c r="I49" s="125">
        <v>66</v>
      </c>
      <c r="J49" s="125">
        <f t="shared" si="10"/>
        <v>67.619334066667989</v>
      </c>
      <c r="K49" s="125">
        <f t="shared" si="11"/>
        <v>67.338545614211384</v>
      </c>
      <c r="L49" s="125">
        <f t="shared" si="12"/>
        <v>67.652137974926987</v>
      </c>
      <c r="M49" s="125">
        <f t="shared" si="13"/>
        <v>68.203785549711114</v>
      </c>
      <c r="N49" s="125">
        <f t="shared" si="14"/>
        <v>68.850973669216742</v>
      </c>
      <c r="O49" s="125">
        <f t="shared" si="15"/>
        <v>71.085080780161036</v>
      </c>
      <c r="P49" s="125">
        <f t="shared" si="16"/>
        <v>73.019284851470729</v>
      </c>
      <c r="Q49" s="125">
        <f t="shared" si="17"/>
        <v>76.028414043875657</v>
      </c>
      <c r="R49" s="125">
        <f t="shared" si="18"/>
        <v>78.294383588475071</v>
      </c>
      <c r="S49" s="125">
        <f t="shared" si="19"/>
        <v>81.328968534480964</v>
      </c>
      <c r="T49" s="125">
        <f t="shared" si="20"/>
        <v>94.563235461206361</v>
      </c>
      <c r="U49" s="225"/>
      <c r="V49" s="230">
        <v>5.7005876359085515E-2</v>
      </c>
      <c r="W49" s="230">
        <v>5.6912075527362549E-2</v>
      </c>
      <c r="X49" s="230">
        <v>5.6696054884135171E-2</v>
      </c>
      <c r="Y49" s="230">
        <v>5.6871335590194416E-2</v>
      </c>
      <c r="Z49" s="230">
        <v>5.6826488667230717E-2</v>
      </c>
      <c r="AA49" s="230">
        <v>5.6797959713853437E-2</v>
      </c>
      <c r="AB49" s="230">
        <v>5.683192799042619E-2</v>
      </c>
      <c r="AC49" s="230">
        <v>5.6818792123836781E-2</v>
      </c>
      <c r="AD49" s="230">
        <v>5.6816226609372134E-2</v>
      </c>
      <c r="AE49" s="230">
        <v>5.6822315574545035E-2</v>
      </c>
      <c r="AF49" s="230">
        <v>5.6819111435917981E-2</v>
      </c>
    </row>
    <row r="50" spans="1:38" s="227" customFormat="1" ht="24.95" customHeight="1">
      <c r="A50" s="221"/>
      <c r="B50" s="276" t="s">
        <v>692</v>
      </c>
      <c r="C50" s="226" t="s">
        <v>90</v>
      </c>
      <c r="D50" s="125">
        <v>4</v>
      </c>
      <c r="E50" s="125">
        <v>4</v>
      </c>
      <c r="F50" s="125">
        <v>4</v>
      </c>
      <c r="G50" s="125">
        <v>9</v>
      </c>
      <c r="H50" s="125">
        <v>8</v>
      </c>
      <c r="I50" s="125">
        <v>8</v>
      </c>
      <c r="J50" s="125">
        <f t="shared" si="10"/>
        <v>8.4074601059058374</v>
      </c>
      <c r="K50" s="125">
        <f t="shared" si="11"/>
        <v>8.1913929755868597</v>
      </c>
      <c r="L50" s="125">
        <f t="shared" si="12"/>
        <v>8.2808679848951972</v>
      </c>
      <c r="M50" s="125">
        <f t="shared" si="13"/>
        <v>8.375146412306206</v>
      </c>
      <c r="N50" s="125">
        <f t="shared" si="14"/>
        <v>8.4191810454329126</v>
      </c>
      <c r="O50" s="125">
        <f t="shared" si="15"/>
        <v>8.707477475548302</v>
      </c>
      <c r="P50" s="125">
        <f t="shared" si="16"/>
        <v>8.9465931470010496</v>
      </c>
      <c r="Q50" s="125">
        <f t="shared" si="17"/>
        <v>9.3083777350501453</v>
      </c>
      <c r="R50" s="125">
        <f t="shared" si="18"/>
        <v>9.5897656899002204</v>
      </c>
      <c r="S50" s="125">
        <f t="shared" si="19"/>
        <v>9.9611730538749317</v>
      </c>
      <c r="T50" s="125">
        <f t="shared" si="20"/>
        <v>11.580728744399366</v>
      </c>
      <c r="U50" s="225"/>
      <c r="V50" s="230">
        <v>7.0878342401106834E-3</v>
      </c>
      <c r="W50" s="230">
        <v>6.9230657040285108E-3</v>
      </c>
      <c r="X50" s="230">
        <v>6.9398035274790227E-3</v>
      </c>
      <c r="Y50" s="230">
        <v>6.9835678238727395E-3</v>
      </c>
      <c r="Z50" s="230">
        <v>6.9488123517934238E-3</v>
      </c>
      <c r="AA50" s="230">
        <v>6.957394567715062E-3</v>
      </c>
      <c r="AB50" s="230">
        <v>6.9632582477937412E-3</v>
      </c>
      <c r="AC50" s="230">
        <v>6.9564883891007423E-3</v>
      </c>
      <c r="AD50" s="230">
        <v>6.9590470682031821E-3</v>
      </c>
      <c r="AE50" s="230">
        <v>6.9595979016992228E-3</v>
      </c>
      <c r="AF50" s="230">
        <v>6.9583777863343821E-3</v>
      </c>
    </row>
    <row r="51" spans="1:38" s="227" customFormat="1" ht="24.95" customHeight="1">
      <c r="A51" s="221"/>
      <c r="B51" s="276" t="s">
        <v>693</v>
      </c>
      <c r="C51" s="226" t="s">
        <v>90</v>
      </c>
      <c r="D51" s="125"/>
      <c r="E51" s="125"/>
      <c r="F51" s="125"/>
      <c r="G51" s="125"/>
      <c r="H51" s="125"/>
      <c r="I51" s="125">
        <v>5</v>
      </c>
      <c r="J51" s="125">
        <f t="shared" si="10"/>
        <v>7</v>
      </c>
      <c r="K51" s="125">
        <f t="shared" si="11"/>
        <v>12.831859579888903</v>
      </c>
      <c r="L51" s="125">
        <f t="shared" si="12"/>
        <v>14.374278798204145</v>
      </c>
      <c r="M51" s="125">
        <f t="shared" si="13"/>
        <v>19.256580685391562</v>
      </c>
      <c r="N51" s="125">
        <f t="shared" si="14"/>
        <v>18.60436473803038</v>
      </c>
      <c r="O51" s="125">
        <f t="shared" si="15"/>
        <v>21.600931183971742</v>
      </c>
      <c r="P51" s="125">
        <f t="shared" si="16"/>
        <v>21.819030144745987</v>
      </c>
      <c r="Q51" s="125">
        <f t="shared" si="17"/>
        <v>22.367769213029586</v>
      </c>
      <c r="R51" s="125">
        <f t="shared" si="18"/>
        <v>22.683097982323034</v>
      </c>
      <c r="S51" s="125">
        <f t="shared" si="19"/>
        <v>23.194621674278959</v>
      </c>
      <c r="T51" s="125">
        <f t="shared" si="20"/>
        <v>24.92298812247024</v>
      </c>
      <c r="U51" s="225"/>
      <c r="V51" s="230">
        <v>5.9012875536480682E-3</v>
      </c>
      <c r="W51" s="230">
        <v>1.0845018330972463E-2</v>
      </c>
      <c r="X51" s="230">
        <v>1.2046402731054595E-2</v>
      </c>
      <c r="Y51" s="230">
        <v>1.6056989412711539E-2</v>
      </c>
      <c r="Z51" s="230">
        <v>1.5355203646443032E-2</v>
      </c>
      <c r="AA51" s="230">
        <v>1.7259441864647312E-2</v>
      </c>
      <c r="AB51" s="230">
        <v>1.6982055528611033E-2</v>
      </c>
      <c r="AC51" s="230">
        <v>1.6716245434971824E-2</v>
      </c>
      <c r="AD51" s="230">
        <v>1.6460542584257141E-2</v>
      </c>
      <c r="AE51" s="230">
        <v>1.6205444826824303E-2</v>
      </c>
      <c r="AF51" s="230">
        <v>1.4975185996334048E-2</v>
      </c>
    </row>
    <row r="52" spans="1:38" s="227" customFormat="1" ht="24.95" customHeight="1">
      <c r="A52" s="226" t="s">
        <v>610</v>
      </c>
      <c r="B52" s="228" t="s">
        <v>660</v>
      </c>
      <c r="C52" s="226" t="s">
        <v>90</v>
      </c>
      <c r="D52" s="127">
        <f t="shared" ref="D52:I52" si="21">SUM(D53:D63)</f>
        <v>314</v>
      </c>
      <c r="E52" s="127">
        <f t="shared" si="21"/>
        <v>315</v>
      </c>
      <c r="F52" s="127">
        <f t="shared" si="21"/>
        <v>331</v>
      </c>
      <c r="G52" s="127">
        <f t="shared" si="21"/>
        <v>352</v>
      </c>
      <c r="H52" s="127">
        <f t="shared" si="21"/>
        <v>354</v>
      </c>
      <c r="I52" s="127">
        <f t="shared" si="21"/>
        <v>354</v>
      </c>
      <c r="J52" s="127">
        <f t="shared" ref="J52:T52" si="22">11.66*J5</f>
        <v>373.12</v>
      </c>
      <c r="K52" s="127">
        <f t="shared" si="22"/>
        <v>384.78000000000003</v>
      </c>
      <c r="L52" s="127">
        <f t="shared" si="22"/>
        <v>408.1</v>
      </c>
      <c r="M52" s="127">
        <f t="shared" si="22"/>
        <v>419.76</v>
      </c>
      <c r="N52" s="127">
        <f t="shared" si="22"/>
        <v>431.42</v>
      </c>
      <c r="O52" s="127">
        <f t="shared" si="22"/>
        <v>454.74</v>
      </c>
      <c r="P52" s="127">
        <f t="shared" si="22"/>
        <v>501.38</v>
      </c>
      <c r="Q52" s="127">
        <f t="shared" si="22"/>
        <v>513.04</v>
      </c>
      <c r="R52" s="127">
        <f t="shared" si="22"/>
        <v>559.68000000000006</v>
      </c>
      <c r="S52" s="127">
        <f t="shared" si="22"/>
        <v>594.66</v>
      </c>
      <c r="T52" s="127">
        <f t="shared" si="22"/>
        <v>617.98</v>
      </c>
      <c r="U52" s="225" t="s">
        <v>295</v>
      </c>
    </row>
    <row r="53" spans="1:38" s="227" customFormat="1" ht="24.95" customHeight="1">
      <c r="A53" s="221"/>
      <c r="B53" s="277" t="s">
        <v>694</v>
      </c>
      <c r="C53" s="226" t="s">
        <v>90</v>
      </c>
      <c r="D53" s="125">
        <v>25</v>
      </c>
      <c r="E53" s="125">
        <v>26</v>
      </c>
      <c r="F53" s="125">
        <v>26</v>
      </c>
      <c r="G53" s="125">
        <v>27</v>
      </c>
      <c r="H53" s="125">
        <v>28</v>
      </c>
      <c r="I53" s="125">
        <v>28</v>
      </c>
      <c r="J53" s="125">
        <f t="shared" ref="J53:J63" si="23">AB53*J$52</f>
        <v>29.214877589453859</v>
      </c>
      <c r="K53" s="125">
        <f t="shared" ref="K53:K63" si="24">AC53*K$52</f>
        <v>30.332331685499064</v>
      </c>
      <c r="L53" s="125">
        <f t="shared" ref="L53:L63" si="25">AD53*L$52</f>
        <v>32.134507742205486</v>
      </c>
      <c r="M53" s="125">
        <f t="shared" ref="M53:M63" si="26">AE53*M$52</f>
        <v>33.003063402385443</v>
      </c>
      <c r="N53" s="125">
        <f t="shared" ref="N53:N63" si="27">AF53*N$52</f>
        <v>33.96651948048175</v>
      </c>
      <c r="O53" s="125">
        <f t="shared" ref="O53:O63" si="28">AG53*O$52</f>
        <v>35.787629719722872</v>
      </c>
      <c r="P53" s="125">
        <f t="shared" ref="P53:P63" si="29">AH53*P$52</f>
        <v>39.451028432003184</v>
      </c>
      <c r="Q53" s="125">
        <f t="shared" ref="Q53:Q63" si="30">AI53*Q$52</f>
        <v>40.378966448720703</v>
      </c>
      <c r="R53" s="125">
        <f t="shared" ref="R53:R63" si="31">AJ53*R$52</f>
        <v>44.044817467021794</v>
      </c>
      <c r="S53" s="125">
        <f t="shared" ref="S53:S63" si="32">AK53*S$52</f>
        <v>46.797088713273467</v>
      </c>
      <c r="T53" s="125">
        <f t="shared" ref="T53:T63" si="33">AL53*T$52</f>
        <v>48.634462814788932</v>
      </c>
      <c r="U53" s="225"/>
      <c r="V53" s="230">
        <v>7.9617834394904455E-2</v>
      </c>
      <c r="W53" s="230">
        <v>8.2539682539682538E-2</v>
      </c>
      <c r="X53" s="230">
        <v>7.8549848942598186E-2</v>
      </c>
      <c r="Y53" s="230">
        <v>7.6704545454545456E-2</v>
      </c>
      <c r="Z53" s="230">
        <v>7.909604519774012E-2</v>
      </c>
      <c r="AA53" s="230">
        <v>7.909604519774012E-2</v>
      </c>
      <c r="AB53" s="230">
        <v>7.8298878616675227E-2</v>
      </c>
      <c r="AC53" s="230">
        <v>7.8830323004051822E-2</v>
      </c>
      <c r="AD53" s="230">
        <v>7.8741748939489056E-2</v>
      </c>
      <c r="AE53" s="230">
        <v>7.8623650186738711E-2</v>
      </c>
      <c r="AF53" s="230">
        <v>7.8731907376759877E-2</v>
      </c>
      <c r="AG53" s="230">
        <v>7.8699102167662557E-2</v>
      </c>
      <c r="AH53" s="230">
        <v>7.8684886577053706E-2</v>
      </c>
      <c r="AI53" s="230">
        <v>7.8705298707158713E-2</v>
      </c>
      <c r="AJ53" s="230">
        <v>7.8696429150624983E-2</v>
      </c>
      <c r="AK53" s="230">
        <v>7.8695538144945801E-2</v>
      </c>
      <c r="AL53" s="230">
        <v>7.8699088667576508E-2</v>
      </c>
    </row>
    <row r="54" spans="1:38" s="227" customFormat="1" ht="24.95" customHeight="1">
      <c r="A54" s="221"/>
      <c r="B54" s="277" t="s">
        <v>296</v>
      </c>
      <c r="C54" s="226" t="s">
        <v>90</v>
      </c>
      <c r="D54" s="125">
        <v>39</v>
      </c>
      <c r="E54" s="125">
        <v>39</v>
      </c>
      <c r="F54" s="125">
        <v>41</v>
      </c>
      <c r="G54" s="125">
        <v>42</v>
      </c>
      <c r="H54" s="125">
        <v>43</v>
      </c>
      <c r="I54" s="125">
        <v>43</v>
      </c>
      <c r="J54" s="125">
        <f t="shared" si="23"/>
        <v>45.054990583804141</v>
      </c>
      <c r="K54" s="125">
        <f t="shared" si="24"/>
        <v>46.646862052730704</v>
      </c>
      <c r="L54" s="125">
        <f t="shared" si="25"/>
        <v>49.441436492990164</v>
      </c>
      <c r="M54" s="125">
        <f t="shared" si="26"/>
        <v>50.809466415568103</v>
      </c>
      <c r="N54" s="125">
        <f t="shared" si="27"/>
        <v>52.262843022715117</v>
      </c>
      <c r="O54" s="125">
        <f t="shared" si="28"/>
        <v>55.074445519750753</v>
      </c>
      <c r="P54" s="125">
        <f t="shared" si="29"/>
        <v>60.716696710660571</v>
      </c>
      <c r="Q54" s="125">
        <f t="shared" si="30"/>
        <v>62.138130900191754</v>
      </c>
      <c r="R54" s="125">
        <f t="shared" si="31"/>
        <v>67.782587520677311</v>
      </c>
      <c r="S54" s="125">
        <f t="shared" si="32"/>
        <v>72.018522735427126</v>
      </c>
      <c r="T54" s="125">
        <f t="shared" si="33"/>
        <v>74.844751793165869</v>
      </c>
      <c r="U54" s="225"/>
      <c r="V54" s="230">
        <v>0.12420382165605096</v>
      </c>
      <c r="W54" s="230">
        <v>0.12380952380952381</v>
      </c>
      <c r="X54" s="230">
        <v>0.12386706948640483</v>
      </c>
      <c r="Y54" s="230">
        <v>0.11931818181818182</v>
      </c>
      <c r="Z54" s="230">
        <v>0.12146892655367232</v>
      </c>
      <c r="AA54" s="230">
        <v>0.12146892655367232</v>
      </c>
      <c r="AB54" s="230">
        <v>0.12075201164184214</v>
      </c>
      <c r="AC54" s="230">
        <v>0.1212299549163956</v>
      </c>
      <c r="AD54" s="230">
        <v>0.12115029770397001</v>
      </c>
      <c r="AE54" s="230">
        <v>0.12104408808740258</v>
      </c>
      <c r="AF54" s="230">
        <v>0.12114144690258939</v>
      </c>
      <c r="AG54" s="230">
        <v>0.12111194423132066</v>
      </c>
      <c r="AH54" s="230">
        <v>0.12109915974043754</v>
      </c>
      <c r="AI54" s="230">
        <v>0.12111751695811586</v>
      </c>
      <c r="AJ54" s="230">
        <v>0.12110954030995802</v>
      </c>
      <c r="AK54" s="230">
        <v>0.12110873900283714</v>
      </c>
      <c r="AL54" s="230">
        <v>0.12111193209030367</v>
      </c>
    </row>
    <row r="55" spans="1:38" s="227" customFormat="1" ht="24.95" customHeight="1">
      <c r="A55" s="221"/>
      <c r="B55" s="277" t="s">
        <v>297</v>
      </c>
      <c r="C55" s="226" t="s">
        <v>90</v>
      </c>
      <c r="D55" s="125">
        <v>26</v>
      </c>
      <c r="E55" s="125">
        <v>26</v>
      </c>
      <c r="F55" s="125">
        <v>28</v>
      </c>
      <c r="G55" s="125">
        <v>29</v>
      </c>
      <c r="H55" s="125">
        <v>29</v>
      </c>
      <c r="I55" s="125">
        <v>29</v>
      </c>
      <c r="J55" s="125">
        <f t="shared" si="23"/>
        <v>30.624218455743875</v>
      </c>
      <c r="K55" s="125">
        <f t="shared" si="24"/>
        <v>31.541425376647833</v>
      </c>
      <c r="L55" s="125">
        <f t="shared" si="25"/>
        <v>33.460062251517051</v>
      </c>
      <c r="M55" s="125">
        <f t="shared" si="26"/>
        <v>34.425712492153167</v>
      </c>
      <c r="N55" s="125">
        <f t="shared" si="27"/>
        <v>35.372892181651196</v>
      </c>
      <c r="O55" s="125">
        <f t="shared" si="28"/>
        <v>37.287843880053934</v>
      </c>
      <c r="P55" s="125">
        <f t="shared" si="29"/>
        <v>41.113625338737627</v>
      </c>
      <c r="Q55" s="125">
        <f t="shared" si="30"/>
        <v>42.067717939510722</v>
      </c>
      <c r="R55" s="125">
        <f t="shared" si="31"/>
        <v>45.893022103734012</v>
      </c>
      <c r="S55" s="125">
        <f t="shared" si="32"/>
        <v>48.761439109497104</v>
      </c>
      <c r="T55" s="125">
        <f t="shared" si="33"/>
        <v>50.673225358195438</v>
      </c>
      <c r="U55" s="225"/>
      <c r="V55" s="230">
        <v>8.2802547770700632E-2</v>
      </c>
      <c r="W55" s="230">
        <v>8.2539682539682538E-2</v>
      </c>
      <c r="X55" s="230">
        <v>8.4592145015105744E-2</v>
      </c>
      <c r="Y55" s="230">
        <v>8.2386363636363633E-2</v>
      </c>
      <c r="Z55" s="230">
        <v>8.1920903954802254E-2</v>
      </c>
      <c r="AA55" s="230">
        <v>8.1920903954802254E-2</v>
      </c>
      <c r="AB55" s="230">
        <v>8.2076057181989376E-2</v>
      </c>
      <c r="AC55" s="230">
        <v>8.1972621697197962E-2</v>
      </c>
      <c r="AD55" s="230">
        <v>8.1989860944663193E-2</v>
      </c>
      <c r="AE55" s="230">
        <v>8.2012846607950177E-2</v>
      </c>
      <c r="AF55" s="230">
        <v>8.1991776416603768E-2</v>
      </c>
      <c r="AG55" s="230">
        <v>8.1998161323072374E-2</v>
      </c>
      <c r="AH55" s="230">
        <v>8.2000928115875435E-2</v>
      </c>
      <c r="AI55" s="230">
        <v>8.1996955285183859E-2</v>
      </c>
      <c r="AJ55" s="230">
        <v>8.1998681574710561E-2</v>
      </c>
      <c r="AK55" s="230">
        <v>8.199885499192329E-2</v>
      </c>
      <c r="AL55" s="230">
        <v>8.1998163950605898E-2</v>
      </c>
    </row>
    <row r="56" spans="1:38" s="227" customFormat="1" ht="24.95" customHeight="1">
      <c r="A56" s="221"/>
      <c r="B56" s="277" t="s">
        <v>298</v>
      </c>
      <c r="C56" s="226" t="s">
        <v>90</v>
      </c>
      <c r="D56" s="125">
        <v>28</v>
      </c>
      <c r="E56" s="125">
        <v>27</v>
      </c>
      <c r="F56" s="125">
        <v>27</v>
      </c>
      <c r="G56" s="125">
        <v>28</v>
      </c>
      <c r="H56" s="125">
        <v>28</v>
      </c>
      <c r="I56" s="125">
        <v>28</v>
      </c>
      <c r="J56" s="125">
        <f t="shared" si="23"/>
        <v>29.568210922787198</v>
      </c>
      <c r="K56" s="125">
        <f t="shared" si="24"/>
        <v>30.453790018832393</v>
      </c>
      <c r="L56" s="125">
        <f t="shared" si="25"/>
        <v>32.306267001464747</v>
      </c>
      <c r="M56" s="125">
        <f t="shared" si="26"/>
        <v>33.238618957940993</v>
      </c>
      <c r="N56" s="125">
        <f t="shared" si="27"/>
        <v>34.153137278835651</v>
      </c>
      <c r="O56" s="125">
        <f t="shared" si="28"/>
        <v>36.002056160052092</v>
      </c>
      <c r="P56" s="125">
        <f t="shared" si="29"/>
        <v>39.695914120160481</v>
      </c>
      <c r="Q56" s="125">
        <f t="shared" si="30"/>
        <v>40.617106976079334</v>
      </c>
      <c r="R56" s="125">
        <f t="shared" si="31"/>
        <v>44.31050410015699</v>
      </c>
      <c r="S56" s="125">
        <f t="shared" si="32"/>
        <v>47.080010174686869</v>
      </c>
      <c r="T56" s="125">
        <f t="shared" si="33"/>
        <v>48.925872759636995</v>
      </c>
      <c r="U56" s="225"/>
      <c r="V56" s="230">
        <v>8.9171974522292988E-2</v>
      </c>
      <c r="W56" s="230">
        <v>8.5714285714285715E-2</v>
      </c>
      <c r="X56" s="230">
        <v>8.1570996978851965E-2</v>
      </c>
      <c r="Y56" s="230">
        <v>7.9545454545454544E-2</v>
      </c>
      <c r="Z56" s="230">
        <v>7.909604519774012E-2</v>
      </c>
      <c r="AA56" s="230">
        <v>7.909604519774012E-2</v>
      </c>
      <c r="AB56" s="230">
        <v>7.9245848313644937E-2</v>
      </c>
      <c r="AC56" s="230">
        <v>7.9145979569708383E-2</v>
      </c>
      <c r="AD56" s="230">
        <v>7.9162624360364475E-2</v>
      </c>
      <c r="AE56" s="230">
        <v>7.9184817414572603E-2</v>
      </c>
      <c r="AF56" s="230">
        <v>7.9164473781548492E-2</v>
      </c>
      <c r="AG56" s="230">
        <v>7.9170638518828537E-2</v>
      </c>
      <c r="AH56" s="230">
        <v>7.9173309904983211E-2</v>
      </c>
      <c r="AI56" s="230">
        <v>7.9169474068453413E-2</v>
      </c>
      <c r="AJ56" s="230">
        <v>7.9171140830755049E-2</v>
      </c>
      <c r="AK56" s="230">
        <v>7.9171308268063886E-2</v>
      </c>
      <c r="AL56" s="230">
        <v>7.9170641055757454E-2</v>
      </c>
    </row>
    <row r="57" spans="1:38" s="227" customFormat="1" ht="24.95" customHeight="1">
      <c r="A57" s="221"/>
      <c r="B57" s="277" t="s">
        <v>299</v>
      </c>
      <c r="C57" s="226" t="s">
        <v>90</v>
      </c>
      <c r="D57" s="125">
        <v>24</v>
      </c>
      <c r="E57" s="125">
        <v>25</v>
      </c>
      <c r="F57" s="125">
        <v>26</v>
      </c>
      <c r="G57" s="125">
        <v>28</v>
      </c>
      <c r="H57" s="125">
        <v>28</v>
      </c>
      <c r="I57" s="125">
        <v>28</v>
      </c>
      <c r="J57" s="125">
        <f t="shared" si="23"/>
        <v>29.568210922787198</v>
      </c>
      <c r="K57" s="125">
        <f t="shared" si="24"/>
        <v>30.453790018832393</v>
      </c>
      <c r="L57" s="125">
        <f t="shared" si="25"/>
        <v>32.306267001464747</v>
      </c>
      <c r="M57" s="125">
        <f t="shared" si="26"/>
        <v>33.238618957940993</v>
      </c>
      <c r="N57" s="125">
        <f t="shared" si="27"/>
        <v>34.153137278835651</v>
      </c>
      <c r="O57" s="125">
        <f t="shared" si="28"/>
        <v>36.002056160052092</v>
      </c>
      <c r="P57" s="125">
        <f t="shared" si="29"/>
        <v>39.695914120160481</v>
      </c>
      <c r="Q57" s="125">
        <f t="shared" si="30"/>
        <v>40.617106976079334</v>
      </c>
      <c r="R57" s="125">
        <f t="shared" si="31"/>
        <v>44.31050410015699</v>
      </c>
      <c r="S57" s="125">
        <f t="shared" si="32"/>
        <v>47.080010174686869</v>
      </c>
      <c r="T57" s="125">
        <f t="shared" si="33"/>
        <v>48.925872759636995</v>
      </c>
      <c r="U57" s="225"/>
      <c r="V57" s="230">
        <v>7.6433121019108277E-2</v>
      </c>
      <c r="W57" s="230">
        <v>7.9365079365079361E-2</v>
      </c>
      <c r="X57" s="230">
        <v>7.8549848942598186E-2</v>
      </c>
      <c r="Y57" s="230">
        <v>7.9545454545454544E-2</v>
      </c>
      <c r="Z57" s="230">
        <v>7.909604519774012E-2</v>
      </c>
      <c r="AA57" s="230">
        <v>7.909604519774012E-2</v>
      </c>
      <c r="AB57" s="230">
        <v>7.9245848313644937E-2</v>
      </c>
      <c r="AC57" s="230">
        <v>7.9145979569708383E-2</v>
      </c>
      <c r="AD57" s="230">
        <v>7.9162624360364475E-2</v>
      </c>
      <c r="AE57" s="230">
        <v>7.9184817414572603E-2</v>
      </c>
      <c r="AF57" s="230">
        <v>7.9164473781548492E-2</v>
      </c>
      <c r="AG57" s="230">
        <v>7.9170638518828537E-2</v>
      </c>
      <c r="AH57" s="230">
        <v>7.9173309904983211E-2</v>
      </c>
      <c r="AI57" s="230">
        <v>7.9169474068453413E-2</v>
      </c>
      <c r="AJ57" s="230">
        <v>7.9171140830755049E-2</v>
      </c>
      <c r="AK57" s="230">
        <v>7.9171308268063886E-2</v>
      </c>
      <c r="AL57" s="230">
        <v>7.9170641055757454E-2</v>
      </c>
    </row>
    <row r="58" spans="1:38" s="227" customFormat="1" ht="24.95" customHeight="1">
      <c r="A58" s="221"/>
      <c r="B58" s="277" t="s">
        <v>142</v>
      </c>
      <c r="C58" s="226" t="s">
        <v>90</v>
      </c>
      <c r="D58" s="125">
        <v>56</v>
      </c>
      <c r="E58" s="125">
        <v>56</v>
      </c>
      <c r="F58" s="125">
        <v>56</v>
      </c>
      <c r="G58" s="125">
        <v>57</v>
      </c>
      <c r="H58" s="125">
        <v>57</v>
      </c>
      <c r="I58" s="125">
        <v>57</v>
      </c>
      <c r="J58" s="125">
        <f t="shared" si="23"/>
        <v>60.192429378531074</v>
      </c>
      <c r="K58" s="125">
        <f t="shared" si="24"/>
        <v>61.995215395480223</v>
      </c>
      <c r="L58" s="125">
        <f t="shared" si="25"/>
        <v>65.766329252981805</v>
      </c>
      <c r="M58" s="125">
        <f t="shared" si="26"/>
        <v>67.664331450094167</v>
      </c>
      <c r="N58" s="125">
        <f t="shared" si="27"/>
        <v>69.526029460486853</v>
      </c>
      <c r="O58" s="125">
        <f t="shared" si="28"/>
        <v>73.289900040106019</v>
      </c>
      <c r="P58" s="125">
        <f t="shared" si="29"/>
        <v>80.809539458898101</v>
      </c>
      <c r="Q58" s="125">
        <f t="shared" si="30"/>
        <v>82.684824915590056</v>
      </c>
      <c r="R58" s="125">
        <f t="shared" si="31"/>
        <v>90.203526203891002</v>
      </c>
      <c r="S58" s="125">
        <f t="shared" si="32"/>
        <v>95.841449284183952</v>
      </c>
      <c r="T58" s="125">
        <f t="shared" si="33"/>
        <v>99.599098117832412</v>
      </c>
      <c r="U58" s="225"/>
      <c r="V58" s="230">
        <v>0.17834394904458598</v>
      </c>
      <c r="W58" s="230">
        <v>0.17777777777777778</v>
      </c>
      <c r="X58" s="230">
        <v>0.16918429003021149</v>
      </c>
      <c r="Y58" s="230">
        <v>0.16193181818181818</v>
      </c>
      <c r="Z58" s="230">
        <v>0.16101694915254236</v>
      </c>
      <c r="AA58" s="230">
        <v>0.16101694915254236</v>
      </c>
      <c r="AB58" s="230">
        <v>0.1613219054956343</v>
      </c>
      <c r="AC58" s="230">
        <v>0.16111860126690633</v>
      </c>
      <c r="AD58" s="230">
        <v>0.16115248530502768</v>
      </c>
      <c r="AE58" s="230">
        <v>0.16119766402252278</v>
      </c>
      <c r="AF58" s="230">
        <v>0.16115625019815227</v>
      </c>
      <c r="AG58" s="230">
        <v>0.16116879984190091</v>
      </c>
      <c r="AH58" s="230">
        <v>0.16117423802085865</v>
      </c>
      <c r="AI58" s="230">
        <v>0.16116642935363726</v>
      </c>
      <c r="AJ58" s="230">
        <v>0.1611698224054656</v>
      </c>
      <c r="AK58" s="230">
        <v>0.16117016325998715</v>
      </c>
      <c r="AL58" s="230">
        <v>0.16116880500636332</v>
      </c>
    </row>
    <row r="59" spans="1:38" s="227" customFormat="1" ht="24.95" customHeight="1">
      <c r="A59" s="221"/>
      <c r="B59" s="277" t="s">
        <v>141</v>
      </c>
      <c r="C59" s="226" t="s">
        <v>90</v>
      </c>
      <c r="D59" s="125">
        <v>88</v>
      </c>
      <c r="E59" s="125">
        <v>88</v>
      </c>
      <c r="F59" s="125">
        <v>97</v>
      </c>
      <c r="G59" s="125">
        <v>102</v>
      </c>
      <c r="H59" s="125">
        <v>102</v>
      </c>
      <c r="I59" s="125">
        <v>102</v>
      </c>
      <c r="J59" s="125">
        <f t="shared" si="23"/>
        <v>107.71276836158194</v>
      </c>
      <c r="K59" s="125">
        <f t="shared" si="24"/>
        <v>110.93880649717516</v>
      </c>
      <c r="L59" s="125">
        <f t="shared" si="25"/>
        <v>117.68711550533585</v>
      </c>
      <c r="M59" s="125">
        <f t="shared" si="26"/>
        <v>121.0835404896422</v>
      </c>
      <c r="N59" s="125">
        <f t="shared" si="27"/>
        <v>124.41500008718702</v>
      </c>
      <c r="O59" s="125">
        <f t="shared" si="28"/>
        <v>131.15034744018976</v>
      </c>
      <c r="P59" s="125">
        <f t="shared" si="29"/>
        <v>144.60654429487036</v>
      </c>
      <c r="Q59" s="125">
        <f t="shared" si="30"/>
        <v>147.96231827000332</v>
      </c>
      <c r="R59" s="125">
        <f t="shared" si="31"/>
        <v>161.41683636485766</v>
      </c>
      <c r="S59" s="125">
        <f t="shared" si="32"/>
        <v>171.50575135064506</v>
      </c>
      <c r="T59" s="125">
        <f t="shared" si="33"/>
        <v>178.22996505296334</v>
      </c>
      <c r="U59" s="225"/>
      <c r="V59" s="230">
        <v>0.28025477707006369</v>
      </c>
      <c r="W59" s="230">
        <v>0.27936507936507937</v>
      </c>
      <c r="X59" s="230">
        <v>0.29305135951661632</v>
      </c>
      <c r="Y59" s="230">
        <v>0.28977272727272729</v>
      </c>
      <c r="Z59" s="230">
        <v>0.28813559322033899</v>
      </c>
      <c r="AA59" s="230">
        <v>0.28813559322033899</v>
      </c>
      <c r="AB59" s="230">
        <v>0.28868130457113511</v>
      </c>
      <c r="AC59" s="230">
        <v>0.28831749700393772</v>
      </c>
      <c r="AD59" s="230">
        <v>0.28837813159847059</v>
      </c>
      <c r="AE59" s="230">
        <v>0.28845897772451451</v>
      </c>
      <c r="AF59" s="230">
        <v>0.28838486877564096</v>
      </c>
      <c r="AG59" s="230">
        <v>0.28840732603287539</v>
      </c>
      <c r="AH59" s="230">
        <v>0.28841705751101032</v>
      </c>
      <c r="AI59" s="230">
        <v>0.28840308410650889</v>
      </c>
      <c r="AJ59" s="230">
        <v>0.28840915588346488</v>
      </c>
      <c r="AK59" s="230">
        <v>0.28840976583366135</v>
      </c>
      <c r="AL59" s="230">
        <v>0.28840733527454504</v>
      </c>
    </row>
    <row r="60" spans="1:38" s="227" customFormat="1" ht="24.95" customHeight="1">
      <c r="A60" s="221"/>
      <c r="B60" s="277" t="s">
        <v>300</v>
      </c>
      <c r="C60" s="226"/>
      <c r="D60" s="125">
        <v>13</v>
      </c>
      <c r="E60" s="125">
        <v>13</v>
      </c>
      <c r="F60" s="125">
        <v>14</v>
      </c>
      <c r="G60" s="125">
        <v>17</v>
      </c>
      <c r="H60" s="125">
        <v>17</v>
      </c>
      <c r="I60" s="125">
        <v>17</v>
      </c>
      <c r="J60" s="125">
        <f t="shared" si="23"/>
        <v>17.95212806026365</v>
      </c>
      <c r="K60" s="125">
        <f t="shared" si="24"/>
        <v>18.489801082862524</v>
      </c>
      <c r="L60" s="125">
        <f t="shared" si="25"/>
        <v>19.614519250889305</v>
      </c>
      <c r="M60" s="125">
        <f t="shared" si="26"/>
        <v>20.180590081607026</v>
      </c>
      <c r="N60" s="125">
        <f t="shared" si="27"/>
        <v>20.735833347864496</v>
      </c>
      <c r="O60" s="125">
        <f t="shared" si="28"/>
        <v>21.858391240031615</v>
      </c>
      <c r="P60" s="125">
        <f t="shared" si="29"/>
        <v>24.101090715811711</v>
      </c>
      <c r="Q60" s="125">
        <f t="shared" si="30"/>
        <v>24.660386378333875</v>
      </c>
      <c r="R60" s="125">
        <f t="shared" si="31"/>
        <v>26.902806060809592</v>
      </c>
      <c r="S60" s="125">
        <f t="shared" si="32"/>
        <v>28.584291891774164</v>
      </c>
      <c r="T60" s="125">
        <f t="shared" si="33"/>
        <v>29.70499417549388</v>
      </c>
      <c r="U60" s="225"/>
      <c r="V60" s="230">
        <v>4.1401273885350316E-2</v>
      </c>
      <c r="W60" s="230">
        <v>4.1269841269841269E-2</v>
      </c>
      <c r="X60" s="230">
        <v>4.2296072507552872E-2</v>
      </c>
      <c r="Y60" s="230">
        <v>4.8295454545454544E-2</v>
      </c>
      <c r="Z60" s="230">
        <v>4.8022598870056499E-2</v>
      </c>
      <c r="AA60" s="230">
        <v>4.8022598870056499E-2</v>
      </c>
      <c r="AB60" s="230">
        <v>4.811355076185584E-2</v>
      </c>
      <c r="AC60" s="230">
        <v>4.8052916167322941E-2</v>
      </c>
      <c r="AD60" s="230">
        <v>4.8063021933078424E-2</v>
      </c>
      <c r="AE60" s="230">
        <v>4.8076496287419064E-2</v>
      </c>
      <c r="AF60" s="230">
        <v>4.8064144795940143E-2</v>
      </c>
      <c r="AG60" s="230">
        <v>4.8067887672145877E-2</v>
      </c>
      <c r="AH60" s="230">
        <v>4.8069509585168362E-2</v>
      </c>
      <c r="AI60" s="230">
        <v>4.8067180684418127E-2</v>
      </c>
      <c r="AJ60" s="230">
        <v>4.8068192647244122E-2</v>
      </c>
      <c r="AK60" s="230">
        <v>4.8068294305610208E-2</v>
      </c>
      <c r="AL60" s="230">
        <v>4.8067889212424157E-2</v>
      </c>
    </row>
    <row r="61" spans="1:38" s="227" customFormat="1" ht="24.95" customHeight="1">
      <c r="A61" s="221"/>
      <c r="B61" s="277" t="s">
        <v>301</v>
      </c>
      <c r="C61" s="226"/>
      <c r="D61" s="125">
        <v>3</v>
      </c>
      <c r="E61" s="125">
        <v>3</v>
      </c>
      <c r="F61" s="125">
        <v>5</v>
      </c>
      <c r="G61" s="125">
        <v>7</v>
      </c>
      <c r="H61" s="125">
        <v>8</v>
      </c>
      <c r="I61" s="125">
        <v>8</v>
      </c>
      <c r="J61" s="125">
        <f t="shared" si="23"/>
        <v>8.0947269303201494</v>
      </c>
      <c r="K61" s="125">
        <f t="shared" si="24"/>
        <v>8.5796245291902071</v>
      </c>
      <c r="L61" s="125">
        <f t="shared" si="25"/>
        <v>9.0586027411592376</v>
      </c>
      <c r="M61" s="125">
        <f t="shared" si="26"/>
        <v>9.2611927181418707</v>
      </c>
      <c r="N61" s="125">
        <f t="shared" si="27"/>
        <v>9.5714214241705626</v>
      </c>
      <c r="O61" s="125">
        <f t="shared" si="28"/>
        <v>10.071875319685661</v>
      </c>
      <c r="P61" s="125">
        <f t="shared" si="29"/>
        <v>11.096804060459986</v>
      </c>
      <c r="Q61" s="125">
        <f t="shared" si="30"/>
        <v>11.366747180092604</v>
      </c>
      <c r="R61" s="125">
        <f t="shared" si="31"/>
        <v>12.394457395481089</v>
      </c>
      <c r="S61" s="125">
        <f t="shared" si="32"/>
        <v>13.168510017068559</v>
      </c>
      <c r="T61" s="125">
        <f t="shared" si="33"/>
        <v>13.687410843619647</v>
      </c>
      <c r="U61" s="225"/>
      <c r="V61" s="230">
        <v>9.5541401273885346E-3</v>
      </c>
      <c r="W61" s="230">
        <v>9.5238095238095247E-3</v>
      </c>
      <c r="X61" s="230">
        <v>1.5105740181268883E-2</v>
      </c>
      <c r="Y61" s="230">
        <v>1.9886363636363636E-2</v>
      </c>
      <c r="Z61" s="230">
        <v>2.2598870056497175E-2</v>
      </c>
      <c r="AA61" s="230">
        <v>2.2598870056497175E-2</v>
      </c>
      <c r="AB61" s="230">
        <v>2.1694701249785994E-2</v>
      </c>
      <c r="AC61" s="230">
        <v>2.2297480454260114E-2</v>
      </c>
      <c r="AD61" s="230">
        <v>2.2197017253514428E-2</v>
      </c>
      <c r="AE61" s="230">
        <v>2.2063066319186846E-2</v>
      </c>
      <c r="AF61" s="230">
        <v>2.2185854675653798E-2</v>
      </c>
      <c r="AG61" s="230">
        <v>2.2148646082785023E-2</v>
      </c>
      <c r="AH61" s="230">
        <v>2.2132522359208557E-2</v>
      </c>
      <c r="AI61" s="230">
        <v>2.2155674372549127E-2</v>
      </c>
      <c r="AJ61" s="230">
        <v>2.2145614271514236E-2</v>
      </c>
      <c r="AK61" s="230">
        <v>2.2144603667757307E-2</v>
      </c>
      <c r="AL61" s="230">
        <v>2.214863077060689E-2</v>
      </c>
    </row>
    <row r="62" spans="1:38" s="227" customFormat="1" ht="24.95" customHeight="1">
      <c r="A62" s="221"/>
      <c r="B62" s="277" t="s">
        <v>302</v>
      </c>
      <c r="C62" s="226"/>
      <c r="D62" s="125">
        <v>7</v>
      </c>
      <c r="E62" s="125">
        <v>7</v>
      </c>
      <c r="F62" s="125">
        <v>6</v>
      </c>
      <c r="G62" s="125">
        <v>9</v>
      </c>
      <c r="H62" s="125">
        <v>9</v>
      </c>
      <c r="I62" s="125">
        <v>9</v>
      </c>
      <c r="J62" s="125">
        <f t="shared" si="23"/>
        <v>9.5040677966101708</v>
      </c>
      <c r="K62" s="125">
        <f t="shared" si="24"/>
        <v>9.7887182203389838</v>
      </c>
      <c r="L62" s="125">
        <f t="shared" si="25"/>
        <v>10.38415725047081</v>
      </c>
      <c r="M62" s="125">
        <f t="shared" si="26"/>
        <v>10.683841807909603</v>
      </c>
      <c r="N62" s="125">
        <f t="shared" si="27"/>
        <v>10.977794125340028</v>
      </c>
      <c r="O62" s="125">
        <f t="shared" si="28"/>
        <v>11.572089480016739</v>
      </c>
      <c r="P62" s="125">
        <f t="shared" si="29"/>
        <v>12.759400967194438</v>
      </c>
      <c r="Q62" s="125">
        <f t="shared" si="30"/>
        <v>13.05549867088264</v>
      </c>
      <c r="R62" s="125">
        <f t="shared" si="31"/>
        <v>14.242662032193316</v>
      </c>
      <c r="S62" s="125">
        <f t="shared" si="32"/>
        <v>15.132860413292203</v>
      </c>
      <c r="T62" s="125">
        <f t="shared" si="33"/>
        <v>15.72617338702617</v>
      </c>
      <c r="U62" s="225"/>
      <c r="V62" s="230">
        <v>2.2292993630573247E-2</v>
      </c>
      <c r="W62" s="230">
        <v>2.2222222222222223E-2</v>
      </c>
      <c r="X62" s="230">
        <v>1.812688821752266E-2</v>
      </c>
      <c r="Y62" s="230">
        <v>2.556818181818182E-2</v>
      </c>
      <c r="Z62" s="230">
        <v>2.5423728813559324E-2</v>
      </c>
      <c r="AA62" s="230">
        <v>2.5423728813559324E-2</v>
      </c>
      <c r="AB62" s="230">
        <v>2.5471879815100157E-2</v>
      </c>
      <c r="AC62" s="230">
        <v>2.5439779147406267E-2</v>
      </c>
      <c r="AD62" s="230">
        <v>2.5445129258688581E-2</v>
      </c>
      <c r="AE62" s="230">
        <v>2.5452262740398333E-2</v>
      </c>
      <c r="AF62" s="230">
        <v>2.5445723715497724E-2</v>
      </c>
      <c r="AG62" s="230">
        <v>2.5447705238194878E-2</v>
      </c>
      <c r="AH62" s="230">
        <v>2.544856389803031E-2</v>
      </c>
      <c r="AI62" s="230">
        <v>2.5447330950574304E-2</v>
      </c>
      <c r="AJ62" s="230">
        <v>2.5447866695599831E-2</v>
      </c>
      <c r="AK62" s="230">
        <v>2.5447920514734813E-2</v>
      </c>
      <c r="AL62" s="230">
        <v>2.5447706053636315E-2</v>
      </c>
    </row>
    <row r="63" spans="1:38" s="227" customFormat="1" ht="24.95" customHeight="1">
      <c r="A63" s="221"/>
      <c r="B63" s="277" t="s">
        <v>303</v>
      </c>
      <c r="C63" s="226"/>
      <c r="D63" s="125">
        <v>5</v>
      </c>
      <c r="E63" s="125">
        <v>5</v>
      </c>
      <c r="F63" s="125">
        <v>5</v>
      </c>
      <c r="G63" s="125">
        <v>6</v>
      </c>
      <c r="H63" s="125">
        <v>5</v>
      </c>
      <c r="I63" s="125">
        <v>5</v>
      </c>
      <c r="J63" s="125">
        <f t="shared" si="23"/>
        <v>5.633370998116761</v>
      </c>
      <c r="K63" s="125">
        <f t="shared" si="24"/>
        <v>5.5596351224105467</v>
      </c>
      <c r="L63" s="125">
        <f t="shared" si="25"/>
        <v>5.9407355095208203</v>
      </c>
      <c r="M63" s="125">
        <f t="shared" si="26"/>
        <v>6.1710232266164464</v>
      </c>
      <c r="N63" s="125">
        <f t="shared" si="27"/>
        <v>6.2853923124317035</v>
      </c>
      <c r="O63" s="125">
        <f t="shared" si="28"/>
        <v>6.6433650403385176</v>
      </c>
      <c r="P63" s="125">
        <f t="shared" si="29"/>
        <v>7.3334417810430921</v>
      </c>
      <c r="Q63" s="125">
        <f t="shared" si="30"/>
        <v>7.4911953445156572</v>
      </c>
      <c r="R63" s="125">
        <f t="shared" si="31"/>
        <v>8.1782766510203686</v>
      </c>
      <c r="S63" s="125">
        <f t="shared" si="32"/>
        <v>8.6900661354646296</v>
      </c>
      <c r="T63" s="125">
        <f t="shared" si="33"/>
        <v>9.0281729376403845</v>
      </c>
      <c r="U63" s="225"/>
      <c r="V63" s="230">
        <v>1.5923566878980892E-2</v>
      </c>
      <c r="W63" s="230">
        <v>1.5873015873015872E-2</v>
      </c>
      <c r="X63" s="230">
        <v>1.5105740181268883E-2</v>
      </c>
      <c r="Y63" s="230">
        <v>1.7045454545454544E-2</v>
      </c>
      <c r="Z63" s="230">
        <v>1.4124293785310734E-2</v>
      </c>
      <c r="AA63" s="230">
        <v>1.4124293785310734E-2</v>
      </c>
      <c r="AB63" s="230">
        <v>1.5098014038692006E-2</v>
      </c>
      <c r="AC63" s="230">
        <v>1.444886720310449E-2</v>
      </c>
      <c r="AD63" s="230">
        <v>1.4557058342369077E-2</v>
      </c>
      <c r="AE63" s="230">
        <v>1.4701313194721857E-2</v>
      </c>
      <c r="AF63" s="230">
        <v>1.4569079580065142E-2</v>
      </c>
      <c r="AG63" s="230">
        <v>1.4609150372385358E-2</v>
      </c>
      <c r="AH63" s="230">
        <v>1.4626514382390786E-2</v>
      </c>
      <c r="AI63" s="230">
        <v>1.4601581444947095E-2</v>
      </c>
      <c r="AJ63" s="230">
        <v>1.4612415399907748E-2</v>
      </c>
      <c r="AK63" s="230">
        <v>1.4613503742415211E-2</v>
      </c>
      <c r="AL63" s="230">
        <v>1.4609166862423353E-2</v>
      </c>
    </row>
    <row r="64" spans="1:38" s="227" customFormat="1" ht="24.95" customHeight="1">
      <c r="A64" s="221">
        <v>6</v>
      </c>
      <c r="B64" s="222" t="s">
        <v>144</v>
      </c>
      <c r="C64" s="221"/>
      <c r="D64" s="125"/>
      <c r="E64" s="125"/>
      <c r="F64" s="125"/>
      <c r="G64" s="125"/>
      <c r="H64" s="125"/>
      <c r="I64" s="125"/>
      <c r="J64" s="125"/>
      <c r="K64" s="125"/>
      <c r="L64" s="136"/>
      <c r="M64" s="136"/>
      <c r="N64" s="136"/>
      <c r="O64" s="136"/>
      <c r="P64" s="136"/>
      <c r="Q64" s="136"/>
      <c r="R64" s="136"/>
      <c r="S64" s="136"/>
      <c r="T64" s="136"/>
      <c r="U64" s="225"/>
    </row>
    <row r="65" spans="1:26" s="231" customFormat="1" ht="24.95" customHeight="1">
      <c r="A65" s="226" t="s">
        <v>612</v>
      </c>
      <c r="B65" s="224" t="s">
        <v>106</v>
      </c>
      <c r="C65" s="226" t="s">
        <v>107</v>
      </c>
      <c r="D65" s="125">
        <v>482</v>
      </c>
      <c r="E65" s="125">
        <v>485</v>
      </c>
      <c r="F65" s="125">
        <v>490</v>
      </c>
      <c r="G65" s="125">
        <v>490</v>
      </c>
      <c r="H65" s="125">
        <v>492</v>
      </c>
      <c r="I65" s="125">
        <v>499</v>
      </c>
      <c r="J65" s="125">
        <f t="shared" ref="J65:T65" si="34">J24</f>
        <v>509.09090909090907</v>
      </c>
      <c r="K65" s="125">
        <f t="shared" si="34"/>
        <v>507.8125</v>
      </c>
      <c r="L65" s="125">
        <f t="shared" si="34"/>
        <v>512.12121212121212</v>
      </c>
      <c r="M65" s="125">
        <f>M24</f>
        <v>514.70588235294122</v>
      </c>
      <c r="N65" s="125">
        <f t="shared" si="34"/>
        <v>520</v>
      </c>
      <c r="O65" s="125">
        <f t="shared" si="34"/>
        <v>537.14285714285711</v>
      </c>
      <c r="P65" s="125">
        <f t="shared" si="34"/>
        <v>551.42857142857144</v>
      </c>
      <c r="Q65" s="125">
        <f t="shared" si="34"/>
        <v>574.28571428571433</v>
      </c>
      <c r="R65" s="125">
        <f t="shared" si="34"/>
        <v>591.42857142857144</v>
      </c>
      <c r="S65" s="125">
        <f t="shared" si="34"/>
        <v>614.28571428571433</v>
      </c>
      <c r="T65" s="125">
        <f t="shared" si="34"/>
        <v>714.28571428571433</v>
      </c>
      <c r="U65" s="223"/>
    </row>
    <row r="66" spans="1:26" s="227" customFormat="1" ht="24.95" customHeight="1">
      <c r="A66" s="226"/>
      <c r="B66" s="228" t="s">
        <v>122</v>
      </c>
      <c r="C66" s="226" t="s">
        <v>90</v>
      </c>
      <c r="D66" s="125">
        <v>475</v>
      </c>
      <c r="E66" s="125">
        <v>478</v>
      </c>
      <c r="F66" s="125">
        <v>480</v>
      </c>
      <c r="G66" s="125">
        <v>480</v>
      </c>
      <c r="H66" s="125">
        <v>484</v>
      </c>
      <c r="I66" s="125">
        <v>492</v>
      </c>
      <c r="J66" s="125">
        <f>I66</f>
        <v>492</v>
      </c>
      <c r="K66" s="125">
        <f>K65</f>
        <v>507.8125</v>
      </c>
      <c r="L66" s="125">
        <f t="shared" ref="L66:S66" si="35">L65</f>
        <v>512.12121212121212</v>
      </c>
      <c r="M66" s="125">
        <f t="shared" si="35"/>
        <v>514.70588235294122</v>
      </c>
      <c r="N66" s="125">
        <f t="shared" si="35"/>
        <v>520</v>
      </c>
      <c r="O66" s="125">
        <f t="shared" si="35"/>
        <v>537.14285714285711</v>
      </c>
      <c r="P66" s="125">
        <f t="shared" si="35"/>
        <v>551.42857142857144</v>
      </c>
      <c r="Q66" s="125">
        <f t="shared" si="35"/>
        <v>574.28571428571433</v>
      </c>
      <c r="R66" s="125">
        <f t="shared" si="35"/>
        <v>591.42857142857144</v>
      </c>
      <c r="S66" s="125">
        <f t="shared" si="35"/>
        <v>614.28571428571433</v>
      </c>
      <c r="T66" s="125">
        <f>T65</f>
        <v>714.28571428571433</v>
      </c>
      <c r="U66" s="225"/>
      <c r="X66" s="232">
        <f>H66-G66</f>
        <v>4</v>
      </c>
      <c r="Y66" s="227">
        <v>600</v>
      </c>
      <c r="Z66" s="232">
        <f t="shared" ref="Z66:Z80" si="36">Y66*X66</f>
        <v>2400</v>
      </c>
    </row>
    <row r="67" spans="1:26" s="227" customFormat="1" ht="24.95" customHeight="1">
      <c r="A67" s="226"/>
      <c r="B67" s="228" t="s">
        <v>304</v>
      </c>
      <c r="C67" s="226" t="s">
        <v>108</v>
      </c>
      <c r="D67" s="125">
        <f t="shared" ref="D67:T67" si="37">D24/D65</f>
        <v>0.90663900414937759</v>
      </c>
      <c r="E67" s="130">
        <f>E24/E65</f>
        <v>0.96701030927835052</v>
      </c>
      <c r="F67" s="130">
        <f t="shared" si="37"/>
        <v>0.9938775510204082</v>
      </c>
      <c r="G67" s="130">
        <f t="shared" si="37"/>
        <v>1.0224489795918368</v>
      </c>
      <c r="H67" s="130">
        <f t="shared" si="37"/>
        <v>1.024390243902439</v>
      </c>
      <c r="I67" s="130">
        <f t="shared" si="37"/>
        <v>1.0120240480961924</v>
      </c>
      <c r="J67" s="128">
        <f t="shared" si="37"/>
        <v>1</v>
      </c>
      <c r="K67" s="128">
        <f t="shared" si="37"/>
        <v>1</v>
      </c>
      <c r="L67" s="128">
        <f t="shared" si="37"/>
        <v>1</v>
      </c>
      <c r="M67" s="128">
        <f t="shared" si="37"/>
        <v>1</v>
      </c>
      <c r="N67" s="128">
        <f t="shared" si="37"/>
        <v>1</v>
      </c>
      <c r="O67" s="128">
        <f t="shared" si="37"/>
        <v>1</v>
      </c>
      <c r="P67" s="128">
        <f t="shared" si="37"/>
        <v>1</v>
      </c>
      <c r="Q67" s="128">
        <f t="shared" si="37"/>
        <v>1</v>
      </c>
      <c r="R67" s="128">
        <f t="shared" si="37"/>
        <v>1</v>
      </c>
      <c r="S67" s="128">
        <f t="shared" si="37"/>
        <v>1</v>
      </c>
      <c r="T67" s="128">
        <f t="shared" si="37"/>
        <v>1</v>
      </c>
      <c r="U67" s="225"/>
      <c r="X67" s="232"/>
      <c r="Z67" s="232">
        <f t="shared" si="36"/>
        <v>0</v>
      </c>
    </row>
    <row r="68" spans="1:26" s="227" customFormat="1" ht="24.95" customHeight="1">
      <c r="A68" s="226" t="s">
        <v>613</v>
      </c>
      <c r="B68" s="219" t="s">
        <v>305</v>
      </c>
      <c r="C68" s="220" t="s">
        <v>107</v>
      </c>
      <c r="D68" s="125">
        <v>82</v>
      </c>
      <c r="E68" s="125">
        <v>91</v>
      </c>
      <c r="F68" s="125">
        <v>103</v>
      </c>
      <c r="G68" s="125">
        <v>111</v>
      </c>
      <c r="H68" s="125">
        <v>119</v>
      </c>
      <c r="I68" s="125">
        <v>130</v>
      </c>
      <c r="J68" s="125">
        <f>I68+12</f>
        <v>142</v>
      </c>
      <c r="K68" s="125">
        <f>J68+12</f>
        <v>154</v>
      </c>
      <c r="L68" s="125">
        <f>K68+12</f>
        <v>166</v>
      </c>
      <c r="M68" s="125">
        <f>L68+12</f>
        <v>178</v>
      </c>
      <c r="N68" s="125">
        <f>M68+6</f>
        <v>184</v>
      </c>
      <c r="O68" s="125">
        <f>N68+6</f>
        <v>190</v>
      </c>
      <c r="P68" s="125">
        <f>O68+12</f>
        <v>202</v>
      </c>
      <c r="Q68" s="125">
        <f>P68+6</f>
        <v>208</v>
      </c>
      <c r="R68" s="125">
        <f>Q68+6</f>
        <v>214</v>
      </c>
      <c r="S68" s="125">
        <f>S5*6</f>
        <v>306</v>
      </c>
      <c r="T68" s="125">
        <f>T5*6</f>
        <v>318</v>
      </c>
      <c r="U68" s="225"/>
      <c r="X68" s="232"/>
      <c r="Z68" s="232">
        <f t="shared" si="36"/>
        <v>0</v>
      </c>
    </row>
    <row r="69" spans="1:26" s="227" customFormat="1" ht="24.95" customHeight="1">
      <c r="A69" s="226"/>
      <c r="B69" s="228" t="s">
        <v>122</v>
      </c>
      <c r="C69" s="226" t="s">
        <v>90</v>
      </c>
      <c r="D69" s="125">
        <v>78</v>
      </c>
      <c r="E69" s="125">
        <v>95</v>
      </c>
      <c r="F69" s="125">
        <v>102</v>
      </c>
      <c r="G69" s="125">
        <v>108</v>
      </c>
      <c r="H69" s="125">
        <v>119</v>
      </c>
      <c r="I69" s="125">
        <v>130</v>
      </c>
      <c r="J69" s="125">
        <f>J68</f>
        <v>142</v>
      </c>
      <c r="K69" s="125">
        <f>J69+6</f>
        <v>148</v>
      </c>
      <c r="L69" s="125">
        <f>K69+6</f>
        <v>154</v>
      </c>
      <c r="M69" s="125">
        <f>L69+6</f>
        <v>160</v>
      </c>
      <c r="N69" s="125">
        <f>M69+6</f>
        <v>166</v>
      </c>
      <c r="O69" s="125">
        <f>N69+6</f>
        <v>172</v>
      </c>
      <c r="P69" s="125">
        <f>O69+6</f>
        <v>178</v>
      </c>
      <c r="Q69" s="125">
        <f>P69+6</f>
        <v>184</v>
      </c>
      <c r="R69" s="125">
        <f>Q69+6</f>
        <v>190</v>
      </c>
      <c r="S69" s="125">
        <f>R69+6</f>
        <v>196</v>
      </c>
      <c r="T69" s="125">
        <f>T68</f>
        <v>318</v>
      </c>
      <c r="U69" s="225"/>
      <c r="X69" s="232">
        <f>H69-G69</f>
        <v>11</v>
      </c>
      <c r="Y69" s="227">
        <v>800</v>
      </c>
      <c r="Z69" s="232">
        <f t="shared" si="36"/>
        <v>8800</v>
      </c>
    </row>
    <row r="70" spans="1:26" s="227" customFormat="1" ht="24.95" customHeight="1">
      <c r="A70" s="226" t="s">
        <v>620</v>
      </c>
      <c r="B70" s="228" t="s">
        <v>306</v>
      </c>
      <c r="C70" s="226" t="s">
        <v>307</v>
      </c>
      <c r="D70" s="125">
        <v>2</v>
      </c>
      <c r="E70" s="125">
        <v>2</v>
      </c>
      <c r="F70" s="125">
        <v>5</v>
      </c>
      <c r="G70" s="125">
        <v>11</v>
      </c>
      <c r="H70" s="125">
        <v>12</v>
      </c>
      <c r="I70" s="125">
        <v>13</v>
      </c>
      <c r="J70" s="127">
        <f>I70+3</f>
        <v>16</v>
      </c>
      <c r="K70" s="127">
        <f>J70+3</f>
        <v>19</v>
      </c>
      <c r="L70" s="127">
        <f>K70+3</f>
        <v>22</v>
      </c>
      <c r="M70" s="127">
        <v>24</v>
      </c>
      <c r="N70" s="127">
        <v>25</v>
      </c>
      <c r="O70" s="127">
        <v>26</v>
      </c>
      <c r="P70" s="127">
        <v>27</v>
      </c>
      <c r="Q70" s="127">
        <v>28</v>
      </c>
      <c r="R70" s="127">
        <f>Q70+1</f>
        <v>29</v>
      </c>
      <c r="S70" s="127">
        <v>31</v>
      </c>
      <c r="T70" s="127">
        <f>T5</f>
        <v>53</v>
      </c>
      <c r="U70" s="225"/>
      <c r="X70" s="232">
        <f>H70-G70</f>
        <v>1</v>
      </c>
      <c r="Y70" s="227">
        <v>4500</v>
      </c>
      <c r="Z70" s="232">
        <f t="shared" si="36"/>
        <v>4500</v>
      </c>
    </row>
    <row r="71" spans="1:26" s="227" customFormat="1" ht="24.95" customHeight="1">
      <c r="A71" s="226" t="s">
        <v>637</v>
      </c>
      <c r="B71" s="228" t="s">
        <v>112</v>
      </c>
      <c r="C71" s="226" t="s">
        <v>107</v>
      </c>
      <c r="D71" s="125">
        <v>146</v>
      </c>
      <c r="E71" s="125">
        <v>166</v>
      </c>
      <c r="F71" s="125">
        <v>178</v>
      </c>
      <c r="G71" s="125">
        <v>194</v>
      </c>
      <c r="H71" s="125">
        <v>214</v>
      </c>
      <c r="I71" s="125">
        <v>214</v>
      </c>
      <c r="J71" s="125">
        <v>235</v>
      </c>
      <c r="K71" s="125">
        <v>242</v>
      </c>
      <c r="L71" s="125">
        <v>254</v>
      </c>
      <c r="M71" s="125">
        <v>281</v>
      </c>
      <c r="N71" s="125">
        <v>288</v>
      </c>
      <c r="O71" s="125">
        <v>288</v>
      </c>
      <c r="P71" s="125">
        <v>292</v>
      </c>
      <c r="Q71" s="125">
        <v>292</v>
      </c>
      <c r="R71" s="125">
        <v>292</v>
      </c>
      <c r="S71" s="125">
        <v>292</v>
      </c>
      <c r="T71" s="125">
        <v>303</v>
      </c>
      <c r="U71" s="225"/>
      <c r="X71" s="232"/>
      <c r="Z71" s="232">
        <f t="shared" si="36"/>
        <v>0</v>
      </c>
    </row>
    <row r="72" spans="1:26" s="227" customFormat="1" ht="24.95" customHeight="1">
      <c r="A72" s="226"/>
      <c r="B72" s="228" t="s">
        <v>122</v>
      </c>
      <c r="C72" s="226" t="s">
        <v>90</v>
      </c>
      <c r="D72" s="125">
        <v>75</v>
      </c>
      <c r="E72" s="125">
        <v>90</v>
      </c>
      <c r="F72" s="125">
        <v>100</v>
      </c>
      <c r="G72" s="125">
        <v>118</v>
      </c>
      <c r="H72" s="125">
        <v>144</v>
      </c>
      <c r="I72" s="125">
        <v>144</v>
      </c>
      <c r="J72" s="125">
        <f>I72+20</f>
        <v>164</v>
      </c>
      <c r="K72" s="125">
        <f t="shared" ref="K72:S72" si="38">J72+10</f>
        <v>174</v>
      </c>
      <c r="L72" s="125">
        <f t="shared" si="38"/>
        <v>184</v>
      </c>
      <c r="M72" s="125">
        <f t="shared" si="38"/>
        <v>194</v>
      </c>
      <c r="N72" s="125">
        <f t="shared" si="38"/>
        <v>204</v>
      </c>
      <c r="O72" s="125">
        <f t="shared" si="38"/>
        <v>214</v>
      </c>
      <c r="P72" s="125">
        <f t="shared" si="38"/>
        <v>224</v>
      </c>
      <c r="Q72" s="125">
        <f t="shared" si="38"/>
        <v>234</v>
      </c>
      <c r="R72" s="125">
        <f t="shared" si="38"/>
        <v>244</v>
      </c>
      <c r="S72" s="125">
        <f t="shared" si="38"/>
        <v>254</v>
      </c>
      <c r="T72" s="125">
        <f>T71</f>
        <v>303</v>
      </c>
      <c r="U72" s="225"/>
      <c r="X72" s="232">
        <f>H72-G72</f>
        <v>26</v>
      </c>
      <c r="Y72" s="227">
        <v>300</v>
      </c>
      <c r="Z72" s="232">
        <f t="shared" si="36"/>
        <v>7800</v>
      </c>
    </row>
    <row r="73" spans="1:26" s="227" customFormat="1" ht="24.95" customHeight="1">
      <c r="A73" s="226" t="s">
        <v>638</v>
      </c>
      <c r="B73" s="224" t="s">
        <v>229</v>
      </c>
      <c r="C73" s="226" t="s">
        <v>107</v>
      </c>
      <c r="D73" s="125">
        <v>400</v>
      </c>
      <c r="E73" s="125">
        <v>446</v>
      </c>
      <c r="F73" s="125">
        <v>518</v>
      </c>
      <c r="G73" s="125">
        <v>522</v>
      </c>
      <c r="H73" s="125">
        <v>606</v>
      </c>
      <c r="I73" s="125">
        <v>611</v>
      </c>
      <c r="J73" s="125">
        <v>616</v>
      </c>
      <c r="K73" s="125">
        <v>644</v>
      </c>
      <c r="L73" s="125">
        <v>657</v>
      </c>
      <c r="M73" s="125">
        <v>687</v>
      </c>
      <c r="N73" s="125">
        <v>697</v>
      </c>
      <c r="O73" s="125">
        <v>697</v>
      </c>
      <c r="P73" s="125">
        <v>714</v>
      </c>
      <c r="Q73" s="125">
        <v>714</v>
      </c>
      <c r="R73" s="125">
        <v>714</v>
      </c>
      <c r="S73" s="125">
        <v>714</v>
      </c>
      <c r="T73" s="125">
        <v>728</v>
      </c>
      <c r="U73" s="225"/>
      <c r="X73" s="232"/>
      <c r="Z73" s="232">
        <f t="shared" si="36"/>
        <v>0</v>
      </c>
    </row>
    <row r="74" spans="1:26" s="227" customFormat="1" ht="24.95" customHeight="1">
      <c r="A74" s="226"/>
      <c r="B74" s="228" t="s">
        <v>122</v>
      </c>
      <c r="C74" s="226" t="s">
        <v>90</v>
      </c>
      <c r="D74" s="125">
        <v>330</v>
      </c>
      <c r="E74" s="125">
        <v>386</v>
      </c>
      <c r="F74" s="125">
        <v>435</v>
      </c>
      <c r="G74" s="125">
        <v>447</v>
      </c>
      <c r="H74" s="125">
        <v>509</v>
      </c>
      <c r="I74" s="125">
        <v>509</v>
      </c>
      <c r="J74" s="125">
        <f>I74+20</f>
        <v>529</v>
      </c>
      <c r="K74" s="125">
        <f>J74+20</f>
        <v>549</v>
      </c>
      <c r="L74" s="125">
        <f>K74+20</f>
        <v>569</v>
      </c>
      <c r="M74" s="125">
        <f>L74+20</f>
        <v>589</v>
      </c>
      <c r="N74" s="125">
        <f>N73*0.9</f>
        <v>627.30000000000007</v>
      </c>
      <c r="O74" s="125">
        <f>N74+20</f>
        <v>647.30000000000007</v>
      </c>
      <c r="P74" s="125">
        <f>O74+20</f>
        <v>667.30000000000007</v>
      </c>
      <c r="Q74" s="125">
        <f>P74+20</f>
        <v>687.30000000000007</v>
      </c>
      <c r="R74" s="125">
        <f>Q74+20</f>
        <v>707.30000000000007</v>
      </c>
      <c r="S74" s="125">
        <f>S73</f>
        <v>714</v>
      </c>
      <c r="T74" s="125">
        <f>T73</f>
        <v>728</v>
      </c>
      <c r="U74" s="225"/>
      <c r="X74" s="232">
        <f>H74-G74</f>
        <v>62</v>
      </c>
      <c r="Y74" s="227">
        <v>250</v>
      </c>
      <c r="Z74" s="232">
        <f t="shared" si="36"/>
        <v>15500</v>
      </c>
    </row>
    <row r="75" spans="1:26" s="227" customFormat="1" ht="24.95" customHeight="1">
      <c r="A75" s="226" t="s">
        <v>695</v>
      </c>
      <c r="B75" s="228" t="s">
        <v>145</v>
      </c>
      <c r="C75" s="226" t="s">
        <v>111</v>
      </c>
      <c r="D75" s="125">
        <v>21</v>
      </c>
      <c r="E75" s="125">
        <v>21</v>
      </c>
      <c r="F75" s="125">
        <v>26</v>
      </c>
      <c r="G75" s="125">
        <v>27</v>
      </c>
      <c r="H75" s="125">
        <v>29</v>
      </c>
      <c r="I75" s="125">
        <v>29</v>
      </c>
      <c r="J75" s="125">
        <f t="shared" ref="J75:T75" si="39">I5</f>
        <v>32</v>
      </c>
      <c r="K75" s="125">
        <f t="shared" si="39"/>
        <v>32</v>
      </c>
      <c r="L75" s="125">
        <f t="shared" si="39"/>
        <v>33</v>
      </c>
      <c r="M75" s="125">
        <f t="shared" si="39"/>
        <v>35</v>
      </c>
      <c r="N75" s="125">
        <f t="shared" si="39"/>
        <v>36</v>
      </c>
      <c r="O75" s="125">
        <f t="shared" si="39"/>
        <v>37</v>
      </c>
      <c r="P75" s="125">
        <f t="shared" si="39"/>
        <v>39</v>
      </c>
      <c r="Q75" s="125">
        <f t="shared" si="39"/>
        <v>43</v>
      </c>
      <c r="R75" s="125">
        <f t="shared" si="39"/>
        <v>44</v>
      </c>
      <c r="S75" s="125">
        <f t="shared" si="39"/>
        <v>48</v>
      </c>
      <c r="T75" s="125">
        <f t="shared" si="39"/>
        <v>51</v>
      </c>
      <c r="U75" s="225"/>
      <c r="X75" s="232"/>
      <c r="Z75" s="232">
        <f t="shared" si="36"/>
        <v>0</v>
      </c>
    </row>
    <row r="76" spans="1:26" s="227" customFormat="1" ht="24.95" customHeight="1">
      <c r="A76" s="226"/>
      <c r="B76" s="228" t="s">
        <v>117</v>
      </c>
      <c r="C76" s="226" t="s">
        <v>90</v>
      </c>
      <c r="D76" s="125">
        <v>12</v>
      </c>
      <c r="E76" s="125">
        <v>13</v>
      </c>
      <c r="F76" s="125">
        <v>17</v>
      </c>
      <c r="G76" s="125">
        <v>17</v>
      </c>
      <c r="H76" s="125">
        <v>19</v>
      </c>
      <c r="I76" s="125">
        <v>19</v>
      </c>
      <c r="J76" s="125">
        <f>I76+2</f>
        <v>21</v>
      </c>
      <c r="K76" s="125">
        <f>J76+2</f>
        <v>23</v>
      </c>
      <c r="L76" s="125">
        <f>K76+2</f>
        <v>25</v>
      </c>
      <c r="M76" s="125">
        <f>L76+2</f>
        <v>27</v>
      </c>
      <c r="N76" s="125">
        <f>N75*0.9</f>
        <v>32.4</v>
      </c>
      <c r="O76" s="125">
        <v>32</v>
      </c>
      <c r="P76" s="125">
        <v>32</v>
      </c>
      <c r="Q76" s="125">
        <v>33</v>
      </c>
      <c r="R76" s="125">
        <v>33</v>
      </c>
      <c r="S76" s="125">
        <v>33</v>
      </c>
      <c r="T76" s="125">
        <v>33</v>
      </c>
      <c r="U76" s="225"/>
      <c r="X76" s="232">
        <f>H76-G76</f>
        <v>2</v>
      </c>
      <c r="Y76" s="227">
        <v>500</v>
      </c>
      <c r="Z76" s="232">
        <f t="shared" si="36"/>
        <v>1000</v>
      </c>
    </row>
    <row r="77" spans="1:26" s="227" customFormat="1" ht="24.95" customHeight="1">
      <c r="A77" s="226" t="s">
        <v>696</v>
      </c>
      <c r="B77" s="224" t="s">
        <v>265</v>
      </c>
      <c r="C77" s="226" t="s">
        <v>113</v>
      </c>
      <c r="D77" s="125">
        <v>88</v>
      </c>
      <c r="E77" s="125">
        <v>92</v>
      </c>
      <c r="F77" s="125">
        <v>100</v>
      </c>
      <c r="G77" s="125">
        <v>100</v>
      </c>
      <c r="H77" s="125">
        <v>111</v>
      </c>
      <c r="I77" s="125">
        <v>113</v>
      </c>
      <c r="J77" s="125">
        <f>I77+10</f>
        <v>123</v>
      </c>
      <c r="K77" s="125">
        <f>J77+10</f>
        <v>133</v>
      </c>
      <c r="L77" s="125">
        <f>K77+10</f>
        <v>143</v>
      </c>
      <c r="M77" s="125">
        <f>L77+10</f>
        <v>153</v>
      </c>
      <c r="N77" s="125">
        <f>N5*5</f>
        <v>185</v>
      </c>
      <c r="O77" s="125">
        <f>N77+6</f>
        <v>191</v>
      </c>
      <c r="P77" s="125">
        <f>O77+6</f>
        <v>197</v>
      </c>
      <c r="Q77" s="125">
        <f>P77+6</f>
        <v>203</v>
      </c>
      <c r="R77" s="125">
        <f>Q77+6</f>
        <v>209</v>
      </c>
      <c r="S77" s="125">
        <f>R77+6</f>
        <v>215</v>
      </c>
      <c r="T77" s="125">
        <f>S77+30</f>
        <v>245</v>
      </c>
      <c r="U77" s="225"/>
      <c r="X77" s="232"/>
      <c r="Z77" s="232">
        <f t="shared" si="36"/>
        <v>0</v>
      </c>
    </row>
    <row r="78" spans="1:26" s="227" customFormat="1" ht="24.95" customHeight="1">
      <c r="A78" s="226"/>
      <c r="B78" s="228" t="s">
        <v>266</v>
      </c>
      <c r="C78" s="226" t="s">
        <v>90</v>
      </c>
      <c r="D78" s="125">
        <v>47</v>
      </c>
      <c r="E78" s="125">
        <v>55</v>
      </c>
      <c r="F78" s="125">
        <v>68</v>
      </c>
      <c r="G78" s="125">
        <v>75</v>
      </c>
      <c r="H78" s="125">
        <v>81</v>
      </c>
      <c r="I78" s="125">
        <v>85</v>
      </c>
      <c r="J78" s="125">
        <f>I78+15</f>
        <v>100</v>
      </c>
      <c r="K78" s="125">
        <f>J78+15</f>
        <v>115</v>
      </c>
      <c r="L78" s="125">
        <f>K78+15</f>
        <v>130</v>
      </c>
      <c r="M78" s="125">
        <f>L78+15</f>
        <v>145</v>
      </c>
      <c r="N78" s="125">
        <f>M78+5</f>
        <v>150</v>
      </c>
      <c r="O78" s="125">
        <f>N78+10</f>
        <v>160</v>
      </c>
      <c r="P78" s="125">
        <f>O78+5</f>
        <v>165</v>
      </c>
      <c r="Q78" s="125">
        <f>P78+10</f>
        <v>175</v>
      </c>
      <c r="R78" s="125">
        <f>Q78+10</f>
        <v>185</v>
      </c>
      <c r="S78" s="125">
        <f>R78+10</f>
        <v>195</v>
      </c>
      <c r="T78" s="125">
        <f>T77</f>
        <v>245</v>
      </c>
      <c r="U78" s="225"/>
      <c r="X78" s="232">
        <f>H78-G78</f>
        <v>6</v>
      </c>
      <c r="Y78" s="227">
        <v>300</v>
      </c>
      <c r="Z78" s="232">
        <f t="shared" si="36"/>
        <v>1800</v>
      </c>
    </row>
    <row r="79" spans="1:26" s="227" customFormat="1" ht="24.95" customHeight="1">
      <c r="A79" s="226" t="s">
        <v>698</v>
      </c>
      <c r="B79" s="224" t="s">
        <v>699</v>
      </c>
      <c r="C79" s="226" t="s">
        <v>114</v>
      </c>
      <c r="D79" s="125">
        <f t="shared" ref="D79:T79" si="40">D5</f>
        <v>28</v>
      </c>
      <c r="E79" s="125">
        <f t="shared" si="40"/>
        <v>29</v>
      </c>
      <c r="F79" s="125">
        <f t="shared" si="40"/>
        <v>29</v>
      </c>
      <c r="G79" s="125">
        <f t="shared" si="40"/>
        <v>29</v>
      </c>
      <c r="H79" s="125">
        <f t="shared" si="40"/>
        <v>31</v>
      </c>
      <c r="I79" s="125">
        <f t="shared" si="40"/>
        <v>32</v>
      </c>
      <c r="J79" s="125">
        <f t="shared" si="40"/>
        <v>32</v>
      </c>
      <c r="K79" s="125">
        <f t="shared" si="40"/>
        <v>33</v>
      </c>
      <c r="L79" s="125">
        <f t="shared" si="40"/>
        <v>35</v>
      </c>
      <c r="M79" s="125">
        <f t="shared" si="40"/>
        <v>36</v>
      </c>
      <c r="N79" s="125">
        <f t="shared" si="40"/>
        <v>37</v>
      </c>
      <c r="O79" s="125">
        <f t="shared" si="40"/>
        <v>39</v>
      </c>
      <c r="P79" s="125">
        <f t="shared" si="40"/>
        <v>43</v>
      </c>
      <c r="Q79" s="125">
        <f t="shared" si="40"/>
        <v>44</v>
      </c>
      <c r="R79" s="125">
        <f t="shared" si="40"/>
        <v>48</v>
      </c>
      <c r="S79" s="125">
        <f t="shared" si="40"/>
        <v>51</v>
      </c>
      <c r="T79" s="125">
        <f t="shared" si="40"/>
        <v>53</v>
      </c>
      <c r="U79" s="225"/>
      <c r="X79" s="232"/>
      <c r="Z79" s="232">
        <f t="shared" si="36"/>
        <v>0</v>
      </c>
    </row>
    <row r="80" spans="1:26" s="227" customFormat="1" ht="24.95" customHeight="1">
      <c r="A80" s="226"/>
      <c r="B80" s="228" t="s">
        <v>308</v>
      </c>
      <c r="C80" s="226" t="s">
        <v>90</v>
      </c>
      <c r="D80" s="125">
        <f t="shared" ref="D80:T80" si="41">D79</f>
        <v>28</v>
      </c>
      <c r="E80" s="125">
        <f t="shared" si="41"/>
        <v>29</v>
      </c>
      <c r="F80" s="125">
        <f t="shared" si="41"/>
        <v>29</v>
      </c>
      <c r="G80" s="125">
        <f t="shared" si="41"/>
        <v>29</v>
      </c>
      <c r="H80" s="125">
        <f t="shared" si="41"/>
        <v>31</v>
      </c>
      <c r="I80" s="125">
        <f t="shared" si="41"/>
        <v>32</v>
      </c>
      <c r="J80" s="125">
        <f t="shared" si="41"/>
        <v>32</v>
      </c>
      <c r="K80" s="125">
        <f t="shared" si="41"/>
        <v>33</v>
      </c>
      <c r="L80" s="125">
        <f t="shared" si="41"/>
        <v>35</v>
      </c>
      <c r="M80" s="125">
        <f t="shared" si="41"/>
        <v>36</v>
      </c>
      <c r="N80" s="125">
        <f t="shared" si="41"/>
        <v>37</v>
      </c>
      <c r="O80" s="125">
        <f t="shared" si="41"/>
        <v>39</v>
      </c>
      <c r="P80" s="125">
        <f t="shared" si="41"/>
        <v>43</v>
      </c>
      <c r="Q80" s="125">
        <f t="shared" si="41"/>
        <v>44</v>
      </c>
      <c r="R80" s="125">
        <f t="shared" si="41"/>
        <v>48</v>
      </c>
      <c r="S80" s="125">
        <f t="shared" si="41"/>
        <v>51</v>
      </c>
      <c r="T80" s="125">
        <f t="shared" si="41"/>
        <v>53</v>
      </c>
      <c r="U80" s="225"/>
      <c r="X80" s="232">
        <f>H80-G80</f>
        <v>2</v>
      </c>
      <c r="Y80" s="227">
        <v>500</v>
      </c>
      <c r="Z80" s="232">
        <f t="shared" si="36"/>
        <v>1000</v>
      </c>
    </row>
    <row r="81" spans="1:21" s="237" customFormat="1" ht="24.95" customHeight="1">
      <c r="A81" s="233">
        <v>7</v>
      </c>
      <c r="B81" s="234" t="s">
        <v>132</v>
      </c>
      <c r="C81" s="198" t="s">
        <v>116</v>
      </c>
      <c r="D81" s="235">
        <f t="shared" ref="D81:T81" si="42">D82+D83</f>
        <v>134749</v>
      </c>
      <c r="E81" s="235">
        <f t="shared" si="42"/>
        <v>164155</v>
      </c>
      <c r="F81" s="235">
        <f t="shared" si="42"/>
        <v>245276</v>
      </c>
      <c r="G81" s="235">
        <f t="shared" si="42"/>
        <v>265294</v>
      </c>
      <c r="H81" s="235">
        <f t="shared" si="42"/>
        <v>295647</v>
      </c>
      <c r="I81" s="235">
        <f t="shared" si="42"/>
        <v>289800</v>
      </c>
      <c r="J81" s="235">
        <f t="shared" si="42"/>
        <v>315071</v>
      </c>
      <c r="K81" s="235">
        <f t="shared" si="42"/>
        <v>352405.5</v>
      </c>
      <c r="L81" s="235">
        <f t="shared" si="42"/>
        <v>366901.22727272729</v>
      </c>
      <c r="M81" s="235">
        <f t="shared" si="42"/>
        <v>360941.80213903746</v>
      </c>
      <c r="N81" s="235">
        <f t="shared" si="42"/>
        <v>418380.4705882353</v>
      </c>
      <c r="O81" s="235">
        <f t="shared" si="42"/>
        <v>431244.71428571426</v>
      </c>
      <c r="P81" s="235">
        <f t="shared" si="42"/>
        <v>437486.42857142858</v>
      </c>
      <c r="Q81" s="235">
        <f t="shared" si="42"/>
        <v>451430.28571428574</v>
      </c>
      <c r="R81" s="235">
        <f t="shared" si="42"/>
        <v>457362.71428571426</v>
      </c>
      <c r="S81" s="235">
        <f t="shared" si="42"/>
        <v>472533.28571428568</v>
      </c>
      <c r="T81" s="235">
        <f t="shared" si="42"/>
        <v>774287</v>
      </c>
      <c r="U81" s="236"/>
    </row>
    <row r="82" spans="1:21" s="240" customFormat="1" ht="24.95" customHeight="1">
      <c r="A82" s="233"/>
      <c r="B82" s="238" t="s">
        <v>123</v>
      </c>
      <c r="C82" s="199" t="s">
        <v>90</v>
      </c>
      <c r="D82" s="125">
        <v>99249</v>
      </c>
      <c r="E82" s="125">
        <v>126855</v>
      </c>
      <c r="F82" s="125">
        <v>203826</v>
      </c>
      <c r="G82" s="125">
        <v>222994</v>
      </c>
      <c r="H82" s="125">
        <v>252847</v>
      </c>
      <c r="I82" s="125">
        <v>270000</v>
      </c>
      <c r="J82" s="125">
        <v>275471</v>
      </c>
      <c r="K82" s="125">
        <v>310618</v>
      </c>
      <c r="L82" s="125">
        <v>331516</v>
      </c>
      <c r="M82" s="125">
        <v>331591</v>
      </c>
      <c r="N82" s="125">
        <v>388629</v>
      </c>
      <c r="O82" s="125">
        <v>399859</v>
      </c>
      <c r="P82" s="125">
        <v>408115</v>
      </c>
      <c r="Q82" s="125">
        <v>416416</v>
      </c>
      <c r="R82" s="125">
        <v>424777</v>
      </c>
      <c r="S82" s="125">
        <v>435844</v>
      </c>
      <c r="T82" s="125">
        <v>483487</v>
      </c>
      <c r="U82" s="239"/>
    </row>
    <row r="83" spans="1:21" s="240" customFormat="1" ht="24.95" customHeight="1">
      <c r="A83" s="233"/>
      <c r="B83" s="238" t="s">
        <v>681</v>
      </c>
      <c r="C83" s="200" t="s">
        <v>90</v>
      </c>
      <c r="D83" s="198">
        <v>35500</v>
      </c>
      <c r="E83" s="198">
        <f t="shared" ref="E83:T83" si="43">600*(E66-D66)+800*(E69-D69)+4500*(E70-D70)+300*(E72-D72)+250*(E74-D74)+500*(E76-D76)+300*(E78-D78)+500*(E80-D80)</f>
        <v>37300</v>
      </c>
      <c r="F83" s="198">
        <f t="shared" si="43"/>
        <v>41450</v>
      </c>
      <c r="G83" s="198">
        <f t="shared" si="43"/>
        <v>42300</v>
      </c>
      <c r="H83" s="198">
        <f t="shared" si="43"/>
        <v>42800</v>
      </c>
      <c r="I83" s="198">
        <f t="shared" si="43"/>
        <v>19800</v>
      </c>
      <c r="J83" s="198">
        <f t="shared" si="43"/>
        <v>39600</v>
      </c>
      <c r="K83" s="198">
        <f t="shared" si="43"/>
        <v>41787.5</v>
      </c>
      <c r="L83" s="198">
        <f t="shared" si="43"/>
        <v>35385.227272727279</v>
      </c>
      <c r="M83" s="198">
        <f t="shared" si="43"/>
        <v>29350.802139037456</v>
      </c>
      <c r="N83" s="198">
        <f t="shared" si="43"/>
        <v>29751.470588235286</v>
      </c>
      <c r="O83" s="198">
        <f t="shared" si="43"/>
        <v>31385.714285714268</v>
      </c>
      <c r="P83" s="198">
        <f t="shared" si="43"/>
        <v>29371.428571428602</v>
      </c>
      <c r="Q83" s="198">
        <f t="shared" si="43"/>
        <v>35014.285714285732</v>
      </c>
      <c r="R83" s="198">
        <f t="shared" si="43"/>
        <v>32585.714285714268</v>
      </c>
      <c r="S83" s="198">
        <f t="shared" si="43"/>
        <v>36689.28571428571</v>
      </c>
      <c r="T83" s="198">
        <f t="shared" si="43"/>
        <v>290800</v>
      </c>
      <c r="U83" s="239"/>
    </row>
    <row r="84" spans="1:21" s="208" customFormat="1" ht="12.75">
      <c r="A84" s="209"/>
      <c r="B84" s="210"/>
      <c r="C84" s="123"/>
      <c r="D84" s="211"/>
      <c r="E84" s="211"/>
      <c r="F84" s="211"/>
      <c r="G84" s="211"/>
      <c r="H84" s="211"/>
      <c r="I84" s="211"/>
      <c r="J84" s="211"/>
      <c r="K84" s="211"/>
      <c r="L84" s="211"/>
      <c r="M84" s="211"/>
      <c r="N84" s="211"/>
      <c r="O84" s="211"/>
      <c r="P84" s="211"/>
      <c r="Q84" s="211"/>
      <c r="R84" s="211"/>
      <c r="S84" s="211"/>
      <c r="T84" s="211"/>
    </row>
    <row r="85" spans="1:21" ht="18" customHeight="1">
      <c r="B85" s="797" t="s">
        <v>71</v>
      </c>
      <c r="C85" s="797"/>
      <c r="D85" s="797"/>
      <c r="E85" s="797"/>
      <c r="F85" s="797"/>
      <c r="G85" s="797"/>
      <c r="H85" s="797"/>
      <c r="I85" s="797"/>
      <c r="J85" s="797"/>
      <c r="K85" s="797"/>
      <c r="L85" s="797"/>
      <c r="M85" s="797"/>
      <c r="N85" s="797"/>
      <c r="O85" s="797"/>
      <c r="P85" s="797"/>
      <c r="Q85" s="797"/>
      <c r="R85" s="797"/>
      <c r="S85" s="797"/>
      <c r="T85" s="797"/>
    </row>
    <row r="86" spans="1:21" ht="18" customHeight="1">
      <c r="N86" s="213"/>
      <c r="R86" s="213"/>
    </row>
    <row r="87" spans="1:21" ht="18" customHeight="1">
      <c r="C87" s="212" t="s">
        <v>309</v>
      </c>
      <c r="D87" s="93">
        <v>15305</v>
      </c>
      <c r="E87" s="93">
        <v>15449</v>
      </c>
      <c r="F87" s="93">
        <v>15751</v>
      </c>
      <c r="G87" s="93">
        <v>15877</v>
      </c>
      <c r="H87" s="93">
        <v>15384</v>
      </c>
      <c r="I87" s="93">
        <v>15194</v>
      </c>
      <c r="J87" s="93">
        <v>15680</v>
      </c>
      <c r="K87" s="93">
        <f t="shared" ref="K87:T87" si="44">K90-K89-K88</f>
        <v>17270.61972236646</v>
      </c>
      <c r="L87" s="93">
        <f t="shared" si="44"/>
        <v>18680.034148037335</v>
      </c>
      <c r="M87" s="93">
        <f t="shared" si="44"/>
        <v>20216.291882487545</v>
      </c>
      <c r="N87" s="93">
        <f t="shared" si="44"/>
        <v>21805.70422040089</v>
      </c>
      <c r="O87" s="93">
        <f t="shared" si="44"/>
        <v>22034.030071393521</v>
      </c>
      <c r="P87" s="93">
        <f t="shared" si="44"/>
        <v>22627.69880837341</v>
      </c>
      <c r="Q87" s="93">
        <f t="shared" si="44"/>
        <v>23142.817743686934</v>
      </c>
      <c r="R87" s="93">
        <f t="shared" si="44"/>
        <v>23692.653999758026</v>
      </c>
      <c r="S87" s="93">
        <f t="shared" si="44"/>
        <v>24638.923965783419</v>
      </c>
      <c r="T87" s="93">
        <f t="shared" si="44"/>
        <v>30263.963198347596</v>
      </c>
    </row>
    <row r="88" spans="1:21" ht="18" customHeight="1">
      <c r="C88" s="212" t="s">
        <v>310</v>
      </c>
      <c r="D88" s="93">
        <v>1802</v>
      </c>
      <c r="E88" s="93">
        <v>1527</v>
      </c>
      <c r="F88" s="93">
        <v>1503</v>
      </c>
      <c r="G88" s="93">
        <v>1820</v>
      </c>
      <c r="H88" s="93">
        <v>1495</v>
      </c>
      <c r="I88" s="93">
        <v>1132</v>
      </c>
      <c r="J88" s="93">
        <v>1213</v>
      </c>
      <c r="K88" s="93">
        <v>1235</v>
      </c>
      <c r="L88" s="93">
        <v>1250</v>
      </c>
      <c r="M88" s="93">
        <v>1280</v>
      </c>
      <c r="N88" s="93">
        <v>1265</v>
      </c>
      <c r="O88" s="93">
        <v>1250</v>
      </c>
      <c r="P88" s="93">
        <v>1260</v>
      </c>
      <c r="Q88" s="93">
        <v>1245</v>
      </c>
      <c r="R88" s="93">
        <v>1220</v>
      </c>
      <c r="S88" s="93">
        <v>1220</v>
      </c>
      <c r="T88" s="93">
        <v>1215</v>
      </c>
    </row>
    <row r="89" spans="1:21" ht="18" customHeight="1">
      <c r="C89" s="212" t="s">
        <v>311</v>
      </c>
      <c r="D89" s="93">
        <f>D87/3</f>
        <v>5101.666666666667</v>
      </c>
      <c r="E89" s="93">
        <f>E87/3</f>
        <v>5149.666666666667</v>
      </c>
      <c r="F89" s="93">
        <f>F87/3</f>
        <v>5250.333333333333</v>
      </c>
      <c r="G89" s="93">
        <f>G87/3</f>
        <v>5292.333333333333</v>
      </c>
      <c r="H89" s="93">
        <f>H87/3</f>
        <v>5128</v>
      </c>
      <c r="I89" s="93">
        <f t="shared" ref="I89:T89" si="45">H87/3.5</f>
        <v>4395.4285714285716</v>
      </c>
      <c r="J89" s="93">
        <f t="shared" si="45"/>
        <v>4341.1428571428569</v>
      </c>
      <c r="K89" s="93">
        <f t="shared" si="45"/>
        <v>4480</v>
      </c>
      <c r="L89" s="93">
        <f t="shared" si="45"/>
        <v>4934.4627778189888</v>
      </c>
      <c r="M89" s="93">
        <f t="shared" si="45"/>
        <v>5337.152613724953</v>
      </c>
      <c r="N89" s="93">
        <f t="shared" si="45"/>
        <v>5776.0833949964417</v>
      </c>
      <c r="O89" s="93">
        <f t="shared" si="45"/>
        <v>6230.2012058288256</v>
      </c>
      <c r="P89" s="93">
        <f t="shared" si="45"/>
        <v>6295.437163255292</v>
      </c>
      <c r="Q89" s="93">
        <f t="shared" si="45"/>
        <v>6465.0568023924034</v>
      </c>
      <c r="R89" s="93">
        <f t="shared" si="45"/>
        <v>6612.2336410534099</v>
      </c>
      <c r="S89" s="93">
        <f t="shared" si="45"/>
        <v>6769.3297142165784</v>
      </c>
      <c r="T89" s="93">
        <f t="shared" si="45"/>
        <v>7039.6925616524049</v>
      </c>
    </row>
    <row r="90" spans="1:21" ht="18" customHeight="1">
      <c r="C90" s="212" t="s">
        <v>312</v>
      </c>
      <c r="D90" s="93">
        <f t="shared" ref="D90:J90" si="46">SUM(D87:D89)</f>
        <v>22208.666666666668</v>
      </c>
      <c r="E90" s="93">
        <f t="shared" si="46"/>
        <v>22125.666666666668</v>
      </c>
      <c r="F90" s="93">
        <f t="shared" si="46"/>
        <v>22504.333333333332</v>
      </c>
      <c r="G90" s="93">
        <f t="shared" si="46"/>
        <v>22989.333333333332</v>
      </c>
      <c r="H90" s="93">
        <f t="shared" si="46"/>
        <v>22007</v>
      </c>
      <c r="I90" s="93">
        <f t="shared" si="46"/>
        <v>20721.428571428572</v>
      </c>
      <c r="J90" s="93">
        <f t="shared" si="46"/>
        <v>21234.142857142855</v>
      </c>
      <c r="K90" s="93">
        <f t="shared" ref="K90:T90" si="47">K97*K95</f>
        <v>22985.61972236646</v>
      </c>
      <c r="L90" s="93">
        <f t="shared" si="47"/>
        <v>24864.496925856325</v>
      </c>
      <c r="M90" s="93">
        <f t="shared" si="47"/>
        <v>26833.444496212498</v>
      </c>
      <c r="N90" s="93">
        <f t="shared" si="47"/>
        <v>28846.78761539733</v>
      </c>
      <c r="O90" s="93">
        <f t="shared" si="47"/>
        <v>29514.231277222345</v>
      </c>
      <c r="P90" s="93">
        <f t="shared" si="47"/>
        <v>30183.135971628704</v>
      </c>
      <c r="Q90" s="93">
        <f t="shared" si="47"/>
        <v>30852.874546079336</v>
      </c>
      <c r="R90" s="93">
        <f t="shared" si="47"/>
        <v>31524.887640811437</v>
      </c>
      <c r="S90" s="93">
        <f t="shared" si="47"/>
        <v>32628.253679999998</v>
      </c>
      <c r="T90" s="93">
        <f t="shared" si="47"/>
        <v>38518.655760000001</v>
      </c>
    </row>
    <row r="91" spans="1:21" ht="18" customHeight="1">
      <c r="C91" s="212" t="s">
        <v>313</v>
      </c>
      <c r="F91" s="213"/>
      <c r="G91" s="213"/>
      <c r="H91" s="213"/>
      <c r="I91" s="213">
        <f>I99*I97</f>
        <v>7036.809404571427</v>
      </c>
      <c r="J91" s="213">
        <f t="shared" ref="J91:T91" si="48">J99*J97</f>
        <v>7503.3055652220628</v>
      </c>
      <c r="K91" s="213">
        <f t="shared" si="48"/>
        <v>7979.9537346335364</v>
      </c>
      <c r="L91" s="213">
        <f t="shared" si="48"/>
        <v>8466.9144601436692</v>
      </c>
      <c r="M91" s="213">
        <f t="shared" si="48"/>
        <v>8979.2286307875038</v>
      </c>
      <c r="N91" s="213">
        <f t="shared" si="48"/>
        <v>9501.2027646026672</v>
      </c>
      <c r="O91" s="213">
        <f t="shared" si="48"/>
        <v>10033.693426777649</v>
      </c>
      <c r="P91" s="213">
        <f t="shared" si="48"/>
        <v>10576.879212371288</v>
      </c>
      <c r="Q91" s="213">
        <f t="shared" si="48"/>
        <v>11130.391243920665</v>
      </c>
      <c r="R91" s="213">
        <f t="shared" si="48"/>
        <v>11694.605603188558</v>
      </c>
      <c r="S91" s="213">
        <f t="shared" si="48"/>
        <v>11864.819519999999</v>
      </c>
      <c r="T91" s="213">
        <f t="shared" si="48"/>
        <v>12839.55192</v>
      </c>
    </row>
    <row r="93" spans="1:21" ht="18" customHeight="1">
      <c r="D93" s="623"/>
      <c r="E93" s="623"/>
      <c r="F93" s="623"/>
      <c r="G93" s="623"/>
      <c r="H93" s="623"/>
    </row>
    <row r="94" spans="1:21" ht="18" customHeight="1">
      <c r="C94" s="212" t="s">
        <v>314</v>
      </c>
      <c r="H94" s="214"/>
      <c r="I94" s="214"/>
      <c r="J94" s="215"/>
      <c r="K94" s="215">
        <f>K13/100</f>
        <v>0.59499999999999997</v>
      </c>
      <c r="L94" s="215">
        <f>L13/100</f>
        <v>0.63</v>
      </c>
      <c r="M94" s="215">
        <f>M13/100</f>
        <v>0.66500000000000004</v>
      </c>
      <c r="N94" s="215">
        <f>N13/100</f>
        <v>0.7</v>
      </c>
      <c r="O94" s="215">
        <v>0.71</v>
      </c>
      <c r="P94" s="215">
        <v>0.72</v>
      </c>
      <c r="Q94" s="215">
        <v>0.73</v>
      </c>
      <c r="R94" s="215">
        <v>0.74</v>
      </c>
      <c r="S94" s="215">
        <v>0.75</v>
      </c>
      <c r="T94" s="215">
        <v>0.8</v>
      </c>
    </row>
    <row r="95" spans="1:21" ht="18" customHeight="1">
      <c r="C95" s="212" t="s">
        <v>315</v>
      </c>
      <c r="D95" s="131">
        <f>0.512</f>
        <v>0.51200000000000001</v>
      </c>
      <c r="E95" s="131">
        <f>0.514-E99</f>
        <v>0.41400000000000003</v>
      </c>
      <c r="F95" s="131">
        <f>0.516-F99</f>
        <v>0.41600000000000004</v>
      </c>
      <c r="G95" s="131">
        <f>0.523-G99</f>
        <v>0.42300000000000004</v>
      </c>
      <c r="H95" s="216">
        <f>H90/H97</f>
        <v>0.44553332164706738</v>
      </c>
      <c r="I95" s="216">
        <f>I90/I97</f>
        <v>0.41206608940085315</v>
      </c>
      <c r="J95" s="216">
        <f>J90/J97</f>
        <v>0.4149698260718041</v>
      </c>
      <c r="K95" s="217">
        <f t="shared" ref="K95:T95" si="49">K94-K99</f>
        <v>0.44166608940085306</v>
      </c>
      <c r="L95" s="217">
        <f t="shared" si="49"/>
        <v>0.46996608940085305</v>
      </c>
      <c r="M95" s="217">
        <f t="shared" si="49"/>
        <v>0.4982660894008531</v>
      </c>
      <c r="N95" s="217">
        <f t="shared" si="49"/>
        <v>0.52656608940085303</v>
      </c>
      <c r="O95" s="217">
        <f t="shared" si="49"/>
        <v>0.529866089400853</v>
      </c>
      <c r="P95" s="217">
        <f t="shared" si="49"/>
        <v>0.53316608940085297</v>
      </c>
      <c r="Q95" s="217">
        <f t="shared" si="49"/>
        <v>0.53646608940085305</v>
      </c>
      <c r="R95" s="217">
        <f t="shared" si="49"/>
        <v>0.53976608940085302</v>
      </c>
      <c r="S95" s="217">
        <f t="shared" si="49"/>
        <v>0.55000000000000004</v>
      </c>
      <c r="T95" s="217">
        <f t="shared" si="49"/>
        <v>0.60000000000000009</v>
      </c>
    </row>
    <row r="96" spans="1:21" ht="18" customHeight="1">
      <c r="B96" s="206" t="s">
        <v>316</v>
      </c>
      <c r="H96" s="206">
        <v>12644.621499999999</v>
      </c>
      <c r="I96" s="206">
        <v>12872.9475</v>
      </c>
      <c r="J96" s="206">
        <v>13099.1585</v>
      </c>
      <c r="K96" s="206">
        <v>13322.549499999999</v>
      </c>
      <c r="L96" s="206">
        <v>13543.7315</v>
      </c>
      <c r="M96" s="206">
        <v>13786.0635</v>
      </c>
      <c r="N96" s="206">
        <v>14023.9305</v>
      </c>
      <c r="O96" s="206">
        <v>14259.048000000001</v>
      </c>
      <c r="P96" s="206">
        <v>14491.9565</v>
      </c>
      <c r="Q96" s="206">
        <v>14722.397499999999</v>
      </c>
      <c r="R96" s="206">
        <v>14951.0995</v>
      </c>
      <c r="S96" s="206">
        <v>15186.451999999999</v>
      </c>
      <c r="T96" s="206">
        <v>16434.066999999999</v>
      </c>
    </row>
    <row r="97" spans="2:20" ht="18" customHeight="1">
      <c r="B97" s="206" t="s">
        <v>317</v>
      </c>
      <c r="D97" s="206">
        <f>D90/D95*100</f>
        <v>4337630.208333334</v>
      </c>
      <c r="E97" s="206">
        <f>E90/E95*100</f>
        <v>5344363.9291465376</v>
      </c>
      <c r="F97" s="206">
        <f>F90/F95*100</f>
        <v>5409695.5128205121</v>
      </c>
      <c r="G97" s="206">
        <f>G90/G95*100</f>
        <v>5434830.5752561064</v>
      </c>
      <c r="H97" s="93">
        <v>49394.734199999999</v>
      </c>
      <c r="I97" s="93">
        <v>50286.662999999993</v>
      </c>
      <c r="J97" s="93">
        <v>51170.3298</v>
      </c>
      <c r="K97" s="93">
        <v>52042.980599999995</v>
      </c>
      <c r="L97" s="93">
        <v>52907.002199999995</v>
      </c>
      <c r="M97" s="93">
        <v>53853.643799999998</v>
      </c>
      <c r="N97" s="93">
        <v>54782.843399999998</v>
      </c>
      <c r="O97" s="93">
        <v>55701.302399999993</v>
      </c>
      <c r="P97" s="93">
        <v>56611.132199999993</v>
      </c>
      <c r="Q97" s="93">
        <v>57511.322999999997</v>
      </c>
      <c r="R97" s="93">
        <v>58404.720599999993</v>
      </c>
      <c r="S97" s="93">
        <v>59324.097599999994</v>
      </c>
      <c r="T97" s="93">
        <v>64197.759599999998</v>
      </c>
    </row>
    <row r="98" spans="2:20" ht="18" customHeight="1">
      <c r="I98" s="206">
        <f>0.552</f>
        <v>0.55200000000000005</v>
      </c>
      <c r="N98" s="218"/>
      <c r="S98" s="214"/>
    </row>
    <row r="99" spans="2:20" ht="18" customHeight="1">
      <c r="C99" s="212" t="s">
        <v>318</v>
      </c>
      <c r="D99" s="206">
        <v>0.1</v>
      </c>
      <c r="E99" s="206">
        <v>0.1</v>
      </c>
      <c r="F99" s="206">
        <v>0.1</v>
      </c>
      <c r="G99" s="206">
        <v>0.1</v>
      </c>
      <c r="H99" s="216">
        <f>I99-I100</f>
        <v>0.13293391059914689</v>
      </c>
      <c r="I99" s="216">
        <f>I98-I95</f>
        <v>0.13993391059914689</v>
      </c>
      <c r="J99" s="218">
        <f t="shared" ref="J99:R99" si="50">I99+0.0067</f>
        <v>0.1466339105991469</v>
      </c>
      <c r="K99" s="218">
        <f t="shared" si="50"/>
        <v>0.15333391059914692</v>
      </c>
      <c r="L99" s="218">
        <f t="shared" si="50"/>
        <v>0.16003391059914693</v>
      </c>
      <c r="M99" s="218">
        <f t="shared" si="50"/>
        <v>0.16673391059914694</v>
      </c>
      <c r="N99" s="218">
        <f t="shared" si="50"/>
        <v>0.17343391059914695</v>
      </c>
      <c r="O99" s="218">
        <f t="shared" si="50"/>
        <v>0.18013391059914696</v>
      </c>
      <c r="P99" s="218">
        <f t="shared" si="50"/>
        <v>0.18683391059914697</v>
      </c>
      <c r="Q99" s="218">
        <f t="shared" si="50"/>
        <v>0.19353391059914699</v>
      </c>
      <c r="R99" s="218">
        <f t="shared" si="50"/>
        <v>0.200233910599147</v>
      </c>
      <c r="S99" s="206">
        <v>0.2</v>
      </c>
      <c r="T99" s="206">
        <v>0.2</v>
      </c>
    </row>
    <row r="100" spans="2:20" ht="18" customHeight="1">
      <c r="D100" s="218">
        <v>7.0000000000000001E-3</v>
      </c>
      <c r="E100" s="218">
        <v>7.0000000000000001E-3</v>
      </c>
      <c r="F100" s="218">
        <v>7.0000000000000001E-3</v>
      </c>
      <c r="G100" s="218">
        <v>7.0000000000000001E-3</v>
      </c>
      <c r="H100" s="218">
        <v>7.0000000000000001E-3</v>
      </c>
      <c r="I100" s="218">
        <v>7.0000000000000001E-3</v>
      </c>
      <c r="J100" s="218">
        <f>J99-I99</f>
        <v>6.7000000000000115E-3</v>
      </c>
      <c r="K100" s="218">
        <f>K99-J99</f>
        <v>6.7000000000000115E-3</v>
      </c>
      <c r="L100" s="218">
        <f>L99-K99</f>
        <v>6.7000000000000115E-3</v>
      </c>
    </row>
    <row r="102" spans="2:20" ht="18" customHeight="1">
      <c r="B102" s="205" t="s">
        <v>106</v>
      </c>
      <c r="J102" s="213">
        <f t="shared" ref="J102:T102" si="51">J66-I66</f>
        <v>0</v>
      </c>
      <c r="K102" s="213">
        <f t="shared" si="51"/>
        <v>15.8125</v>
      </c>
      <c r="L102" s="213">
        <f t="shared" si="51"/>
        <v>4.3087121212121247</v>
      </c>
      <c r="M102" s="213">
        <f t="shared" si="51"/>
        <v>2.5846702317290919</v>
      </c>
      <c r="N102" s="213">
        <f t="shared" si="51"/>
        <v>5.2941176470587834</v>
      </c>
      <c r="O102" s="213">
        <f t="shared" si="51"/>
        <v>17.14285714285711</v>
      </c>
      <c r="P102" s="213">
        <f t="shared" si="51"/>
        <v>14.285714285714334</v>
      </c>
      <c r="Q102" s="213">
        <f t="shared" si="51"/>
        <v>22.85714285714289</v>
      </c>
      <c r="R102" s="213">
        <f t="shared" si="51"/>
        <v>17.14285714285711</v>
      </c>
      <c r="S102" s="213">
        <f t="shared" si="51"/>
        <v>22.85714285714289</v>
      </c>
      <c r="T102" s="213">
        <f t="shared" si="51"/>
        <v>100</v>
      </c>
    </row>
    <row r="103" spans="2:20" ht="18" customHeight="1">
      <c r="B103" s="205" t="s">
        <v>170</v>
      </c>
      <c r="J103" s="213">
        <f t="shared" ref="J103:T103" si="52">J68-I68</f>
        <v>12</v>
      </c>
      <c r="K103" s="213">
        <f t="shared" si="52"/>
        <v>12</v>
      </c>
      <c r="L103" s="213">
        <f t="shared" si="52"/>
        <v>12</v>
      </c>
      <c r="M103" s="213">
        <f t="shared" si="52"/>
        <v>12</v>
      </c>
      <c r="N103" s="213">
        <f t="shared" si="52"/>
        <v>6</v>
      </c>
      <c r="O103" s="213">
        <f t="shared" si="52"/>
        <v>6</v>
      </c>
      <c r="P103" s="213">
        <f t="shared" si="52"/>
        <v>12</v>
      </c>
      <c r="Q103" s="213">
        <f t="shared" si="52"/>
        <v>6</v>
      </c>
      <c r="R103" s="213">
        <f t="shared" si="52"/>
        <v>6</v>
      </c>
      <c r="S103" s="213">
        <f t="shared" si="52"/>
        <v>92</v>
      </c>
      <c r="T103" s="213">
        <f t="shared" si="52"/>
        <v>12</v>
      </c>
    </row>
    <row r="104" spans="2:20" ht="18" customHeight="1">
      <c r="B104" s="205" t="s">
        <v>171</v>
      </c>
      <c r="J104" s="213">
        <f t="shared" ref="J104:T104" si="53">J72-I72</f>
        <v>20</v>
      </c>
      <c r="K104" s="213">
        <f t="shared" si="53"/>
        <v>10</v>
      </c>
      <c r="L104" s="213">
        <f t="shared" si="53"/>
        <v>10</v>
      </c>
      <c r="M104" s="213">
        <f t="shared" si="53"/>
        <v>10</v>
      </c>
      <c r="N104" s="213">
        <f t="shared" si="53"/>
        <v>10</v>
      </c>
      <c r="O104" s="213">
        <f t="shared" si="53"/>
        <v>10</v>
      </c>
      <c r="P104" s="213">
        <f t="shared" si="53"/>
        <v>10</v>
      </c>
      <c r="Q104" s="213">
        <f t="shared" si="53"/>
        <v>10</v>
      </c>
      <c r="R104" s="213">
        <f t="shared" si="53"/>
        <v>10</v>
      </c>
      <c r="S104" s="213">
        <f t="shared" si="53"/>
        <v>10</v>
      </c>
      <c r="T104" s="213">
        <f t="shared" si="53"/>
        <v>49</v>
      </c>
    </row>
    <row r="105" spans="2:20" ht="18" customHeight="1">
      <c r="B105" s="205" t="s">
        <v>172</v>
      </c>
      <c r="J105" s="213">
        <f t="shared" ref="J105:T105" si="54">J74-I74</f>
        <v>20</v>
      </c>
      <c r="K105" s="213">
        <f t="shared" si="54"/>
        <v>20</v>
      </c>
      <c r="L105" s="213">
        <f t="shared" si="54"/>
        <v>20</v>
      </c>
      <c r="M105" s="213">
        <f t="shared" si="54"/>
        <v>20</v>
      </c>
      <c r="N105" s="213">
        <f t="shared" si="54"/>
        <v>38.300000000000068</v>
      </c>
      <c r="O105" s="213">
        <f t="shared" si="54"/>
        <v>20</v>
      </c>
      <c r="P105" s="213">
        <f t="shared" si="54"/>
        <v>20</v>
      </c>
      <c r="Q105" s="213">
        <f t="shared" si="54"/>
        <v>20</v>
      </c>
      <c r="R105" s="213">
        <f t="shared" si="54"/>
        <v>20</v>
      </c>
      <c r="S105" s="213">
        <f t="shared" si="54"/>
        <v>6.6999999999999318</v>
      </c>
      <c r="T105" s="213">
        <f t="shared" si="54"/>
        <v>14</v>
      </c>
    </row>
    <row r="106" spans="2:20" ht="18" customHeight="1">
      <c r="B106" s="205" t="s">
        <v>111</v>
      </c>
      <c r="J106" s="213">
        <f t="shared" ref="J106:T106" si="55">J76-I76</f>
        <v>2</v>
      </c>
      <c r="K106" s="213">
        <f t="shared" si="55"/>
        <v>2</v>
      </c>
      <c r="L106" s="213">
        <f t="shared" si="55"/>
        <v>2</v>
      </c>
      <c r="M106" s="213">
        <f t="shared" si="55"/>
        <v>2</v>
      </c>
      <c r="N106" s="213">
        <f t="shared" si="55"/>
        <v>5.3999999999999986</v>
      </c>
      <c r="O106" s="213">
        <f t="shared" si="55"/>
        <v>-0.39999999999999858</v>
      </c>
      <c r="P106" s="213">
        <f t="shared" si="55"/>
        <v>0</v>
      </c>
      <c r="Q106" s="213">
        <f t="shared" si="55"/>
        <v>1</v>
      </c>
      <c r="R106" s="213">
        <f t="shared" si="55"/>
        <v>0</v>
      </c>
      <c r="S106" s="213">
        <f t="shared" si="55"/>
        <v>0</v>
      </c>
      <c r="T106" s="213">
        <f t="shared" si="55"/>
        <v>0</v>
      </c>
    </row>
    <row r="107" spans="2:20" ht="18" customHeight="1">
      <c r="B107" s="205" t="s">
        <v>173</v>
      </c>
      <c r="J107" s="213">
        <f t="shared" ref="J107:T107" si="56">J78-I78</f>
        <v>15</v>
      </c>
      <c r="K107" s="213">
        <f t="shared" si="56"/>
        <v>15</v>
      </c>
      <c r="L107" s="213">
        <f t="shared" si="56"/>
        <v>15</v>
      </c>
      <c r="M107" s="213">
        <f t="shared" si="56"/>
        <v>15</v>
      </c>
      <c r="N107" s="213">
        <f t="shared" si="56"/>
        <v>5</v>
      </c>
      <c r="O107" s="213">
        <f t="shared" si="56"/>
        <v>10</v>
      </c>
      <c r="P107" s="213">
        <f t="shared" si="56"/>
        <v>5</v>
      </c>
      <c r="Q107" s="213">
        <f t="shared" si="56"/>
        <v>10</v>
      </c>
      <c r="R107" s="213">
        <f t="shared" si="56"/>
        <v>10</v>
      </c>
      <c r="S107" s="213">
        <f t="shared" si="56"/>
        <v>10</v>
      </c>
      <c r="T107" s="213">
        <f t="shared" si="56"/>
        <v>50</v>
      </c>
    </row>
    <row r="108" spans="2:20" ht="18" customHeight="1">
      <c r="B108" s="205" t="s">
        <v>174</v>
      </c>
      <c r="J108" s="213">
        <f t="shared" ref="J108:T108" si="57">J80-I80</f>
        <v>0</v>
      </c>
      <c r="K108" s="213">
        <f t="shared" si="57"/>
        <v>1</v>
      </c>
      <c r="L108" s="213">
        <f t="shared" si="57"/>
        <v>2</v>
      </c>
      <c r="M108" s="213">
        <f t="shared" si="57"/>
        <v>1</v>
      </c>
      <c r="N108" s="213">
        <f t="shared" si="57"/>
        <v>1</v>
      </c>
      <c r="O108" s="213">
        <f t="shared" si="57"/>
        <v>2</v>
      </c>
      <c r="P108" s="213">
        <f t="shared" si="57"/>
        <v>4</v>
      </c>
      <c r="Q108" s="213">
        <f t="shared" si="57"/>
        <v>1</v>
      </c>
      <c r="R108" s="213">
        <f t="shared" si="57"/>
        <v>4</v>
      </c>
      <c r="S108" s="213">
        <f t="shared" si="57"/>
        <v>3</v>
      </c>
      <c r="T108" s="213">
        <f t="shared" si="57"/>
        <v>2</v>
      </c>
    </row>
    <row r="109" spans="2:20" ht="18" customHeight="1">
      <c r="B109" s="206" t="s">
        <v>319</v>
      </c>
      <c r="J109" s="213">
        <f t="shared" ref="J109:T109" si="58">J70-I70</f>
        <v>3</v>
      </c>
      <c r="K109" s="213">
        <f t="shared" si="58"/>
        <v>3</v>
      </c>
      <c r="L109" s="213">
        <f t="shared" si="58"/>
        <v>3</v>
      </c>
      <c r="M109" s="213">
        <f t="shared" si="58"/>
        <v>2</v>
      </c>
      <c r="N109" s="213">
        <f t="shared" si="58"/>
        <v>1</v>
      </c>
      <c r="O109" s="213">
        <f t="shared" si="58"/>
        <v>1</v>
      </c>
      <c r="P109" s="213">
        <f t="shared" si="58"/>
        <v>1</v>
      </c>
      <c r="Q109" s="213">
        <f t="shared" si="58"/>
        <v>1</v>
      </c>
      <c r="R109" s="213">
        <f t="shared" si="58"/>
        <v>1</v>
      </c>
      <c r="S109" s="213">
        <f t="shared" si="58"/>
        <v>2</v>
      </c>
      <c r="T109" s="213">
        <f t="shared" si="58"/>
        <v>22</v>
      </c>
    </row>
    <row r="114" spans="1:20" ht="18" customHeight="1">
      <c r="J114" s="213">
        <f t="shared" ref="J114:T114" si="59">J87-I87</f>
        <v>486</v>
      </c>
      <c r="K114" s="213">
        <f t="shared" si="59"/>
        <v>1590.6197223664603</v>
      </c>
      <c r="L114" s="213">
        <f t="shared" si="59"/>
        <v>1409.4144256708751</v>
      </c>
      <c r="M114" s="213">
        <f t="shared" si="59"/>
        <v>1536.2577344502097</v>
      </c>
      <c r="N114" s="213">
        <f t="shared" si="59"/>
        <v>1589.4123379133453</v>
      </c>
      <c r="O114" s="213">
        <f t="shared" si="59"/>
        <v>228.32585099263088</v>
      </c>
      <c r="P114" s="213">
        <f t="shared" si="59"/>
        <v>593.66873697988922</v>
      </c>
      <c r="Q114" s="213">
        <f t="shared" si="59"/>
        <v>515.11893531352325</v>
      </c>
      <c r="R114" s="213">
        <f t="shared" si="59"/>
        <v>549.83625607109207</v>
      </c>
      <c r="S114" s="213">
        <f t="shared" si="59"/>
        <v>946.26996602539293</v>
      </c>
      <c r="T114" s="213">
        <f t="shared" si="59"/>
        <v>5625.0392325641769</v>
      </c>
    </row>
    <row r="115" spans="1:20" ht="18" customHeight="1">
      <c r="J115" s="213"/>
      <c r="K115" s="213">
        <f>J20+850</f>
        <v>16530</v>
      </c>
      <c r="L115" s="213">
        <f t="shared" ref="L115:S115" si="60">K115+950</f>
        <v>17480</v>
      </c>
      <c r="M115" s="213">
        <f t="shared" si="60"/>
        <v>18430</v>
      </c>
      <c r="N115" s="213">
        <f t="shared" si="60"/>
        <v>19380</v>
      </c>
      <c r="O115" s="213">
        <f t="shared" si="60"/>
        <v>20330</v>
      </c>
      <c r="P115" s="213">
        <f t="shared" si="60"/>
        <v>21280</v>
      </c>
      <c r="Q115" s="213">
        <f t="shared" si="60"/>
        <v>22230</v>
      </c>
      <c r="R115" s="213">
        <f t="shared" si="60"/>
        <v>23180</v>
      </c>
      <c r="S115" s="213">
        <f t="shared" si="60"/>
        <v>24130</v>
      </c>
    </row>
    <row r="116" spans="1:20" ht="18" customHeight="1">
      <c r="J116" s="213">
        <f>S87-J87</f>
        <v>8958.9239657834187</v>
      </c>
    </row>
    <row r="117" spans="1:20" ht="18" customHeight="1">
      <c r="J117" s="213">
        <f>J116/9</f>
        <v>995.43599619815768</v>
      </c>
    </row>
    <row r="125" spans="1:20" ht="18" customHeight="1">
      <c r="A125" s="226" t="s">
        <v>612</v>
      </c>
      <c r="B125" s="224" t="s">
        <v>106</v>
      </c>
      <c r="J125" s="213">
        <f t="shared" ref="J125:S125" si="61">J66-I66</f>
        <v>0</v>
      </c>
      <c r="K125" s="213">
        <f t="shared" si="61"/>
        <v>15.8125</v>
      </c>
      <c r="L125" s="213">
        <f t="shared" si="61"/>
        <v>4.3087121212121247</v>
      </c>
      <c r="M125" s="213">
        <f t="shared" si="61"/>
        <v>2.5846702317290919</v>
      </c>
      <c r="N125" s="213">
        <f t="shared" si="61"/>
        <v>5.2941176470587834</v>
      </c>
      <c r="O125" s="213">
        <f t="shared" si="61"/>
        <v>17.14285714285711</v>
      </c>
      <c r="P125" s="213">
        <f t="shared" si="61"/>
        <v>14.285714285714334</v>
      </c>
      <c r="Q125" s="213">
        <f t="shared" si="61"/>
        <v>22.85714285714289</v>
      </c>
      <c r="R125" s="213">
        <f t="shared" si="61"/>
        <v>17.14285714285711</v>
      </c>
      <c r="S125" s="213">
        <f t="shared" si="61"/>
        <v>22.85714285714289</v>
      </c>
      <c r="T125" s="213">
        <f>T66-S66</f>
        <v>100</v>
      </c>
    </row>
    <row r="126" spans="1:20" ht="42" customHeight="1">
      <c r="A126" s="226" t="s">
        <v>613</v>
      </c>
      <c r="B126" s="219" t="s">
        <v>305</v>
      </c>
      <c r="J126" s="213">
        <f t="shared" ref="J126:S126" si="62">J69-I69</f>
        <v>12</v>
      </c>
      <c r="K126" s="213">
        <f t="shared" si="62"/>
        <v>6</v>
      </c>
      <c r="L126" s="213">
        <f t="shared" si="62"/>
        <v>6</v>
      </c>
      <c r="M126" s="213">
        <f t="shared" si="62"/>
        <v>6</v>
      </c>
      <c r="N126" s="213">
        <f t="shared" si="62"/>
        <v>6</v>
      </c>
      <c r="O126" s="213">
        <f t="shared" si="62"/>
        <v>6</v>
      </c>
      <c r="P126" s="213">
        <f t="shared" si="62"/>
        <v>6</v>
      </c>
      <c r="Q126" s="213">
        <f t="shared" si="62"/>
        <v>6</v>
      </c>
      <c r="R126" s="213">
        <f t="shared" si="62"/>
        <v>6</v>
      </c>
      <c r="S126" s="213">
        <f t="shared" si="62"/>
        <v>6</v>
      </c>
      <c r="T126" s="213">
        <f>T69-S69</f>
        <v>122</v>
      </c>
    </row>
    <row r="127" spans="1:20" ht="18" customHeight="1">
      <c r="A127" s="226" t="s">
        <v>620</v>
      </c>
      <c r="B127" s="228" t="s">
        <v>306</v>
      </c>
      <c r="J127" s="213">
        <f t="shared" ref="J127:S127" si="63">J70-I70</f>
        <v>3</v>
      </c>
      <c r="K127" s="213">
        <f t="shared" si="63"/>
        <v>3</v>
      </c>
      <c r="L127" s="213">
        <f t="shared" si="63"/>
        <v>3</v>
      </c>
      <c r="M127" s="213">
        <f t="shared" si="63"/>
        <v>2</v>
      </c>
      <c r="N127" s="213">
        <f t="shared" si="63"/>
        <v>1</v>
      </c>
      <c r="O127" s="213">
        <f t="shared" si="63"/>
        <v>1</v>
      </c>
      <c r="P127" s="213">
        <f t="shared" si="63"/>
        <v>1</v>
      </c>
      <c r="Q127" s="213">
        <f t="shared" si="63"/>
        <v>1</v>
      </c>
      <c r="R127" s="213">
        <f t="shared" si="63"/>
        <v>1</v>
      </c>
      <c r="S127" s="213">
        <f t="shared" si="63"/>
        <v>2</v>
      </c>
      <c r="T127" s="213">
        <f>T70-S70</f>
        <v>22</v>
      </c>
    </row>
    <row r="128" spans="1:20" ht="18" customHeight="1">
      <c r="A128" s="226" t="s">
        <v>637</v>
      </c>
      <c r="B128" s="228" t="s">
        <v>112</v>
      </c>
      <c r="J128" s="213">
        <f t="shared" ref="J128:S128" si="64">J72-I72</f>
        <v>20</v>
      </c>
      <c r="K128" s="213">
        <f t="shared" si="64"/>
        <v>10</v>
      </c>
      <c r="L128" s="213">
        <f t="shared" si="64"/>
        <v>10</v>
      </c>
      <c r="M128" s="213">
        <f t="shared" si="64"/>
        <v>10</v>
      </c>
      <c r="N128" s="213">
        <f t="shared" si="64"/>
        <v>10</v>
      </c>
      <c r="O128" s="213">
        <f t="shared" si="64"/>
        <v>10</v>
      </c>
      <c r="P128" s="213">
        <f t="shared" si="64"/>
        <v>10</v>
      </c>
      <c r="Q128" s="213">
        <f t="shared" si="64"/>
        <v>10</v>
      </c>
      <c r="R128" s="213">
        <f t="shared" si="64"/>
        <v>10</v>
      </c>
      <c r="S128" s="213">
        <f t="shared" si="64"/>
        <v>10</v>
      </c>
      <c r="T128" s="213">
        <f>T72-S72</f>
        <v>49</v>
      </c>
    </row>
    <row r="129" spans="1:20" ht="18" customHeight="1">
      <c r="A129" s="226" t="s">
        <v>638</v>
      </c>
      <c r="B129" s="224" t="s">
        <v>229</v>
      </c>
      <c r="J129" s="213">
        <f t="shared" ref="J129:S129" si="65">J74-I74</f>
        <v>20</v>
      </c>
      <c r="K129" s="213">
        <f t="shared" si="65"/>
        <v>20</v>
      </c>
      <c r="L129" s="213">
        <f t="shared" si="65"/>
        <v>20</v>
      </c>
      <c r="M129" s="213">
        <f t="shared" si="65"/>
        <v>20</v>
      </c>
      <c r="N129" s="213">
        <f t="shared" si="65"/>
        <v>38.300000000000068</v>
      </c>
      <c r="O129" s="213">
        <f t="shared" si="65"/>
        <v>20</v>
      </c>
      <c r="P129" s="213">
        <f t="shared" si="65"/>
        <v>20</v>
      </c>
      <c r="Q129" s="213">
        <f t="shared" si="65"/>
        <v>20</v>
      </c>
      <c r="R129" s="213">
        <f t="shared" si="65"/>
        <v>20</v>
      </c>
      <c r="S129" s="213">
        <f t="shared" si="65"/>
        <v>6.6999999999999318</v>
      </c>
      <c r="T129" s="213">
        <f>T74-S74</f>
        <v>14</v>
      </c>
    </row>
    <row r="130" spans="1:20" ht="18" customHeight="1">
      <c r="A130" s="226" t="s">
        <v>695</v>
      </c>
      <c r="B130" s="228" t="s">
        <v>145</v>
      </c>
      <c r="J130" s="213">
        <f t="shared" ref="J130:S130" si="66">J76-I76</f>
        <v>2</v>
      </c>
      <c r="K130" s="213">
        <f t="shared" si="66"/>
        <v>2</v>
      </c>
      <c r="L130" s="213">
        <f t="shared" si="66"/>
        <v>2</v>
      </c>
      <c r="M130" s="213">
        <f t="shared" si="66"/>
        <v>2</v>
      </c>
      <c r="N130" s="213">
        <f t="shared" si="66"/>
        <v>5.3999999999999986</v>
      </c>
      <c r="O130" s="213">
        <f>O76-N76</f>
        <v>-0.39999999999999858</v>
      </c>
      <c r="P130" s="213">
        <f t="shared" si="66"/>
        <v>0</v>
      </c>
      <c r="Q130" s="213">
        <f t="shared" si="66"/>
        <v>1</v>
      </c>
      <c r="R130" s="213">
        <f t="shared" si="66"/>
        <v>0</v>
      </c>
      <c r="S130" s="213">
        <f t="shared" si="66"/>
        <v>0</v>
      </c>
      <c r="T130" s="213">
        <f>T76-S76</f>
        <v>0</v>
      </c>
    </row>
    <row r="131" spans="1:20" ht="18" customHeight="1">
      <c r="A131" s="226" t="s">
        <v>697</v>
      </c>
      <c r="B131" s="228" t="s">
        <v>266</v>
      </c>
      <c r="J131" s="213">
        <f t="shared" ref="J131:S131" si="67">J78-I78</f>
        <v>15</v>
      </c>
      <c r="K131" s="213">
        <f t="shared" si="67"/>
        <v>15</v>
      </c>
      <c r="L131" s="213">
        <f t="shared" si="67"/>
        <v>15</v>
      </c>
      <c r="M131" s="213">
        <f t="shared" si="67"/>
        <v>15</v>
      </c>
      <c r="N131" s="213">
        <f t="shared" si="67"/>
        <v>5</v>
      </c>
      <c r="O131" s="213">
        <f t="shared" si="67"/>
        <v>10</v>
      </c>
      <c r="P131" s="213">
        <f t="shared" si="67"/>
        <v>5</v>
      </c>
      <c r="Q131" s="213">
        <f t="shared" si="67"/>
        <v>10</v>
      </c>
      <c r="R131" s="213">
        <f t="shared" si="67"/>
        <v>10</v>
      </c>
      <c r="S131" s="213">
        <f t="shared" si="67"/>
        <v>10</v>
      </c>
      <c r="T131" s="213">
        <f>T78-S78</f>
        <v>50</v>
      </c>
    </row>
    <row r="132" spans="1:20" ht="18" customHeight="1">
      <c r="A132" s="226" t="s">
        <v>698</v>
      </c>
      <c r="B132" s="224" t="s">
        <v>699</v>
      </c>
      <c r="J132" s="213">
        <f t="shared" ref="J132:S132" si="68">J80-I80</f>
        <v>0</v>
      </c>
      <c r="K132" s="213">
        <f t="shared" si="68"/>
        <v>1</v>
      </c>
      <c r="L132" s="213">
        <f t="shared" si="68"/>
        <v>2</v>
      </c>
      <c r="M132" s="213">
        <f t="shared" si="68"/>
        <v>1</v>
      </c>
      <c r="N132" s="213">
        <f t="shared" si="68"/>
        <v>1</v>
      </c>
      <c r="O132" s="213">
        <f t="shared" si="68"/>
        <v>2</v>
      </c>
      <c r="P132" s="213">
        <f t="shared" si="68"/>
        <v>4</v>
      </c>
      <c r="Q132" s="213">
        <f t="shared" si="68"/>
        <v>1</v>
      </c>
      <c r="R132" s="213">
        <f t="shared" si="68"/>
        <v>4</v>
      </c>
      <c r="S132" s="213">
        <f t="shared" si="68"/>
        <v>3</v>
      </c>
      <c r="T132" s="213">
        <f>T80-S80</f>
        <v>2</v>
      </c>
    </row>
  </sheetData>
  <mergeCells count="8">
    <mergeCell ref="U9:U10"/>
    <mergeCell ref="A1:T1"/>
    <mergeCell ref="A3:A4"/>
    <mergeCell ref="B85:T85"/>
    <mergeCell ref="D3:I3"/>
    <mergeCell ref="J3:T3"/>
    <mergeCell ref="C3:C4"/>
    <mergeCell ref="B3:B4"/>
  </mergeCells>
  <phoneticPr fontId="40" type="noConversion"/>
  <printOptions horizontalCentered="1"/>
  <pageMargins left="0.19" right="0.18" top="0.46" bottom="0.42" header="0.19" footer="0.16"/>
  <pageSetup paperSize="8" orientation="landscape" horizontalDpi="300" verticalDpi="300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E88"/>
  <sheetViews>
    <sheetView zoomScale="85" workbookViewId="0">
      <pane xSplit="2" ySplit="3" topLeftCell="H68" activePane="bottomRight" state="frozen"/>
      <selection activeCell="J81" sqref="J81"/>
      <selection pane="topRight" activeCell="J81" sqref="J81"/>
      <selection pane="bottomLeft" activeCell="J81" sqref="J81"/>
      <selection pane="bottomRight" activeCell="J81" sqref="J81"/>
    </sheetView>
  </sheetViews>
  <sheetFormatPr defaultRowHeight="18" customHeight="1"/>
  <cols>
    <col min="1" max="1" width="4.625" style="566" customWidth="1"/>
    <col min="2" max="2" width="35.375" style="566" customWidth="1"/>
    <col min="3" max="3" width="9" style="594"/>
    <col min="4" max="20" width="8.375" style="566" customWidth="1"/>
    <col min="21" max="21" width="3.5" style="566" customWidth="1"/>
    <col min="22" max="16384" width="9" style="566"/>
  </cols>
  <sheetData>
    <row r="1" spans="1:24" ht="27.75" customHeight="1">
      <c r="A1" s="798" t="s">
        <v>967</v>
      </c>
      <c r="B1" s="798"/>
      <c r="C1" s="798"/>
      <c r="D1" s="798"/>
      <c r="E1" s="798"/>
      <c r="F1" s="798"/>
      <c r="G1" s="798"/>
      <c r="H1" s="798"/>
      <c r="I1" s="798"/>
      <c r="J1" s="798"/>
      <c r="K1" s="798"/>
      <c r="L1" s="798"/>
      <c r="M1" s="798"/>
      <c r="N1" s="798"/>
      <c r="O1" s="798"/>
      <c r="P1" s="798"/>
      <c r="Q1" s="798"/>
      <c r="R1" s="798"/>
      <c r="S1" s="798"/>
      <c r="T1" s="798"/>
    </row>
    <row r="2" spans="1:24" ht="17.25" customHeight="1">
      <c r="A2" s="799" t="s">
        <v>1</v>
      </c>
      <c r="B2" s="799" t="s">
        <v>2</v>
      </c>
      <c r="C2" s="799" t="s">
        <v>76</v>
      </c>
      <c r="D2" s="782" t="s">
        <v>175</v>
      </c>
      <c r="E2" s="782"/>
      <c r="F2" s="782"/>
      <c r="G2" s="782"/>
      <c r="H2" s="782"/>
      <c r="I2" s="782"/>
      <c r="J2" s="778" t="s">
        <v>176</v>
      </c>
      <c r="K2" s="779"/>
      <c r="L2" s="779"/>
      <c r="M2" s="779"/>
      <c r="N2" s="779"/>
      <c r="O2" s="779"/>
      <c r="P2" s="779"/>
      <c r="Q2" s="779"/>
      <c r="R2" s="779"/>
      <c r="S2" s="779"/>
      <c r="T2" s="780"/>
    </row>
    <row r="3" spans="1:24" ht="29.25" customHeight="1">
      <c r="A3" s="799"/>
      <c r="B3" s="799"/>
      <c r="C3" s="799"/>
      <c r="D3" s="567" t="s">
        <v>64</v>
      </c>
      <c r="E3" s="567" t="s">
        <v>65</v>
      </c>
      <c r="F3" s="567" t="s">
        <v>66</v>
      </c>
      <c r="G3" s="567" t="s">
        <v>67</v>
      </c>
      <c r="H3" s="567" t="s">
        <v>68</v>
      </c>
      <c r="I3" s="567" t="s">
        <v>69</v>
      </c>
      <c r="J3" s="567" t="s">
        <v>77</v>
      </c>
      <c r="K3" s="567" t="s">
        <v>78</v>
      </c>
      <c r="L3" s="567" t="s">
        <v>79</v>
      </c>
      <c r="M3" s="567" t="s">
        <v>80</v>
      </c>
      <c r="N3" s="567" t="s">
        <v>81</v>
      </c>
      <c r="O3" s="567" t="s">
        <v>82</v>
      </c>
      <c r="P3" s="567" t="s">
        <v>83</v>
      </c>
      <c r="Q3" s="567" t="s">
        <v>84</v>
      </c>
      <c r="R3" s="567" t="s">
        <v>85</v>
      </c>
      <c r="S3" s="567" t="s">
        <v>86</v>
      </c>
      <c r="T3" s="567" t="s">
        <v>87</v>
      </c>
    </row>
    <row r="4" spans="1:24" s="570" customFormat="1" ht="24.95" customHeight="1">
      <c r="A4" s="568">
        <v>1</v>
      </c>
      <c r="B4" s="569" t="s">
        <v>277</v>
      </c>
      <c r="C4" s="568" t="s">
        <v>88</v>
      </c>
      <c r="D4" s="121">
        <v>8</v>
      </c>
      <c r="E4" s="121">
        <v>8</v>
      </c>
      <c r="F4" s="121">
        <v>8</v>
      </c>
      <c r="G4" s="121">
        <v>8</v>
      </c>
      <c r="H4" s="121">
        <v>8</v>
      </c>
      <c r="I4" s="121">
        <v>8</v>
      </c>
      <c r="J4" s="121">
        <v>8</v>
      </c>
      <c r="K4" s="121">
        <v>9</v>
      </c>
      <c r="L4" s="121">
        <v>9</v>
      </c>
      <c r="M4" s="121">
        <v>9</v>
      </c>
      <c r="N4" s="121">
        <v>9</v>
      </c>
      <c r="O4" s="121">
        <v>9</v>
      </c>
      <c r="P4" s="121">
        <v>9</v>
      </c>
      <c r="Q4" s="121">
        <v>9</v>
      </c>
      <c r="R4" s="121">
        <v>9</v>
      </c>
      <c r="S4" s="121">
        <v>9</v>
      </c>
      <c r="T4" s="121">
        <v>9</v>
      </c>
    </row>
    <row r="5" spans="1:24" s="570" customFormat="1" ht="24.95" customHeight="1">
      <c r="A5" s="571" t="s">
        <v>671</v>
      </c>
      <c r="B5" s="572" t="s">
        <v>700</v>
      </c>
      <c r="C5" s="568"/>
      <c r="D5" s="121">
        <v>8</v>
      </c>
      <c r="E5" s="121">
        <v>8</v>
      </c>
      <c r="F5" s="121">
        <v>8</v>
      </c>
      <c r="G5" s="121">
        <v>8</v>
      </c>
      <c r="H5" s="121">
        <v>8</v>
      </c>
      <c r="I5" s="121">
        <v>8</v>
      </c>
      <c r="J5" s="121">
        <v>8</v>
      </c>
      <c r="K5" s="121"/>
      <c r="L5" s="121"/>
      <c r="M5" s="121"/>
      <c r="N5" s="121"/>
      <c r="O5" s="121"/>
      <c r="P5" s="121"/>
      <c r="Q5" s="121"/>
      <c r="R5" s="121"/>
      <c r="S5" s="121"/>
      <c r="T5" s="121"/>
    </row>
    <row r="6" spans="1:24" s="570" customFormat="1" ht="24.95" customHeight="1">
      <c r="A6" s="571" t="s">
        <v>672</v>
      </c>
      <c r="B6" s="573" t="s">
        <v>701</v>
      </c>
      <c r="C6" s="568"/>
      <c r="D6" s="121"/>
      <c r="E6" s="121"/>
      <c r="F6" s="121"/>
      <c r="G6" s="121"/>
      <c r="H6" s="121"/>
      <c r="I6" s="121"/>
      <c r="J6" s="121"/>
      <c r="K6" s="121">
        <v>9</v>
      </c>
      <c r="L6" s="121">
        <v>9</v>
      </c>
      <c r="M6" s="121">
        <v>9</v>
      </c>
      <c r="N6" s="121">
        <v>9</v>
      </c>
      <c r="O6" s="121">
        <v>9</v>
      </c>
      <c r="P6" s="121">
        <v>9</v>
      </c>
      <c r="Q6" s="121">
        <v>9</v>
      </c>
      <c r="R6" s="121">
        <v>9</v>
      </c>
      <c r="S6" s="121">
        <v>9</v>
      </c>
      <c r="T6" s="121">
        <v>9</v>
      </c>
    </row>
    <row r="7" spans="1:24" s="570" customFormat="1" ht="24.95" customHeight="1">
      <c r="A7" s="571" t="s">
        <v>968</v>
      </c>
      <c r="B7" s="572" t="s">
        <v>702</v>
      </c>
      <c r="C7" s="568"/>
      <c r="D7" s="574">
        <v>2</v>
      </c>
      <c r="E7" s="574">
        <v>2</v>
      </c>
      <c r="F7" s="574">
        <v>2</v>
      </c>
      <c r="G7" s="574">
        <v>2</v>
      </c>
      <c r="H7" s="574">
        <v>2</v>
      </c>
      <c r="I7" s="574">
        <v>2</v>
      </c>
      <c r="J7" s="575">
        <v>2</v>
      </c>
      <c r="K7" s="121">
        <v>2</v>
      </c>
      <c r="L7" s="121">
        <v>3</v>
      </c>
      <c r="M7" s="121">
        <v>3</v>
      </c>
      <c r="N7" s="121">
        <v>3</v>
      </c>
      <c r="O7" s="121">
        <v>3</v>
      </c>
      <c r="P7" s="121">
        <v>3</v>
      </c>
      <c r="Q7" s="121">
        <v>3</v>
      </c>
      <c r="R7" s="121">
        <v>3</v>
      </c>
      <c r="S7" s="121">
        <v>3</v>
      </c>
      <c r="T7" s="121">
        <v>3</v>
      </c>
    </row>
    <row r="8" spans="1:24" s="570" customFormat="1" ht="24.95" customHeight="1">
      <c r="A8" s="571" t="s">
        <v>969</v>
      </c>
      <c r="B8" s="572" t="s">
        <v>703</v>
      </c>
      <c r="C8" s="568"/>
      <c r="D8" s="574">
        <v>0</v>
      </c>
      <c r="E8" s="574">
        <v>0</v>
      </c>
      <c r="F8" s="574">
        <v>0</v>
      </c>
      <c r="G8" s="574">
        <v>0</v>
      </c>
      <c r="H8" s="574">
        <v>0</v>
      </c>
      <c r="I8" s="574">
        <v>1</v>
      </c>
      <c r="J8" s="575">
        <v>1</v>
      </c>
      <c r="K8" s="575">
        <v>1</v>
      </c>
      <c r="L8" s="575">
        <v>1</v>
      </c>
      <c r="M8" s="575">
        <v>1</v>
      </c>
      <c r="N8" s="575">
        <v>1</v>
      </c>
      <c r="O8" s="575">
        <v>1</v>
      </c>
      <c r="P8" s="575">
        <v>1</v>
      </c>
      <c r="Q8" s="575">
        <v>1</v>
      </c>
      <c r="R8" s="575">
        <v>1</v>
      </c>
      <c r="S8" s="575">
        <v>1</v>
      </c>
      <c r="T8" s="575">
        <v>1</v>
      </c>
    </row>
    <row r="9" spans="1:24" s="570" customFormat="1" ht="24.95" customHeight="1">
      <c r="A9" s="568">
        <v>2</v>
      </c>
      <c r="B9" s="569" t="s">
        <v>209</v>
      </c>
      <c r="C9" s="568" t="s">
        <v>105</v>
      </c>
      <c r="D9" s="136">
        <f t="shared" ref="D9:T9" si="0">D11+D12+D13+D14+D15++D16+D17+D18+D19+D20+D21</f>
        <v>313</v>
      </c>
      <c r="E9" s="136">
        <f t="shared" si="0"/>
        <v>239</v>
      </c>
      <c r="F9" s="136">
        <f t="shared" si="0"/>
        <v>305</v>
      </c>
      <c r="G9" s="136">
        <f t="shared" si="0"/>
        <v>306</v>
      </c>
      <c r="H9" s="136">
        <f t="shared" si="0"/>
        <v>412</v>
      </c>
      <c r="I9" s="136">
        <f>I11+I12+I13+I14+I15++I16+I17+I18+I19+I20+I21</f>
        <v>345</v>
      </c>
      <c r="J9" s="136">
        <f t="shared" si="0"/>
        <v>348</v>
      </c>
      <c r="K9" s="136">
        <f t="shared" si="0"/>
        <v>350</v>
      </c>
      <c r="L9" s="136">
        <f t="shared" si="0"/>
        <v>303</v>
      </c>
      <c r="M9" s="136">
        <f t="shared" si="0"/>
        <v>354</v>
      </c>
      <c r="N9" s="136">
        <f t="shared" si="0"/>
        <v>360</v>
      </c>
      <c r="O9" s="136">
        <f t="shared" si="0"/>
        <v>286</v>
      </c>
      <c r="P9" s="136">
        <f t="shared" si="0"/>
        <v>288</v>
      </c>
      <c r="Q9" s="136">
        <f t="shared" si="0"/>
        <v>288</v>
      </c>
      <c r="R9" s="136">
        <f t="shared" si="0"/>
        <v>290</v>
      </c>
      <c r="S9" s="136">
        <f t="shared" si="0"/>
        <v>293</v>
      </c>
      <c r="T9" s="136">
        <f t="shared" si="0"/>
        <v>237</v>
      </c>
      <c r="U9" s="576"/>
      <c r="V9" s="577"/>
      <c r="W9" s="577"/>
    </row>
    <row r="10" spans="1:24" s="576" customFormat="1" ht="24.95" customHeight="1">
      <c r="A10" s="571" t="s">
        <v>586</v>
      </c>
      <c r="B10" s="572" t="s">
        <v>712</v>
      </c>
      <c r="C10" s="568" t="s">
        <v>90</v>
      </c>
      <c r="D10" s="136">
        <v>0</v>
      </c>
      <c r="E10" s="136">
        <v>0</v>
      </c>
      <c r="F10" s="136">
        <v>0</v>
      </c>
      <c r="G10" s="136">
        <v>0</v>
      </c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36">
        <v>0</v>
      </c>
      <c r="P10" s="136">
        <v>0</v>
      </c>
      <c r="Q10" s="136">
        <v>0</v>
      </c>
      <c r="R10" s="136">
        <v>0</v>
      </c>
      <c r="S10" s="136">
        <v>0</v>
      </c>
      <c r="T10" s="136">
        <v>0</v>
      </c>
      <c r="U10" s="570"/>
      <c r="V10" s="578"/>
      <c r="W10" s="578"/>
      <c r="X10" s="579"/>
    </row>
    <row r="11" spans="1:24" s="576" customFormat="1" ht="24.95" customHeight="1">
      <c r="A11" s="571" t="s">
        <v>587</v>
      </c>
      <c r="B11" s="580" t="s">
        <v>706</v>
      </c>
      <c r="C11" s="568" t="s">
        <v>90</v>
      </c>
      <c r="D11" s="125">
        <v>129</v>
      </c>
      <c r="E11" s="125">
        <v>70</v>
      </c>
      <c r="F11" s="125">
        <v>93</v>
      </c>
      <c r="G11" s="125">
        <v>65</v>
      </c>
      <c r="H11" s="125">
        <v>153</v>
      </c>
      <c r="I11" s="125">
        <v>20</v>
      </c>
      <c r="J11" s="125">
        <v>100</v>
      </c>
      <c r="K11" s="125">
        <v>90</v>
      </c>
      <c r="L11" s="125">
        <v>90</v>
      </c>
      <c r="M11" s="125">
        <v>90</v>
      </c>
      <c r="N11" s="125">
        <v>90</v>
      </c>
      <c r="O11" s="125">
        <v>50</v>
      </c>
      <c r="P11" s="125">
        <v>50</v>
      </c>
      <c r="Q11" s="125">
        <v>50</v>
      </c>
      <c r="R11" s="125">
        <v>50</v>
      </c>
      <c r="S11" s="125">
        <v>50</v>
      </c>
      <c r="T11" s="136">
        <v>50</v>
      </c>
      <c r="V11" s="578"/>
      <c r="W11" s="578"/>
      <c r="X11" s="581"/>
    </row>
    <row r="12" spans="1:24" s="576" customFormat="1" ht="24.95" customHeight="1">
      <c r="A12" s="571" t="s">
        <v>588</v>
      </c>
      <c r="B12" s="580" t="s">
        <v>707</v>
      </c>
      <c r="C12" s="568" t="s">
        <v>90</v>
      </c>
      <c r="D12" s="125">
        <v>0</v>
      </c>
      <c r="E12" s="125">
        <v>4</v>
      </c>
      <c r="F12" s="125">
        <v>6</v>
      </c>
      <c r="G12" s="125">
        <v>7</v>
      </c>
      <c r="H12" s="125">
        <v>5</v>
      </c>
      <c r="I12" s="125">
        <v>6</v>
      </c>
      <c r="J12" s="125">
        <v>7</v>
      </c>
      <c r="K12" s="125">
        <v>5</v>
      </c>
      <c r="L12" s="125">
        <v>4</v>
      </c>
      <c r="M12" s="125">
        <v>4</v>
      </c>
      <c r="N12" s="125">
        <v>4</v>
      </c>
      <c r="O12" s="125">
        <v>4</v>
      </c>
      <c r="P12" s="125">
        <v>4</v>
      </c>
      <c r="Q12" s="125">
        <v>4</v>
      </c>
      <c r="R12" s="125">
        <v>4</v>
      </c>
      <c r="S12" s="125">
        <v>4</v>
      </c>
      <c r="T12" s="125">
        <v>4</v>
      </c>
      <c r="V12" s="578"/>
      <c r="W12" s="578"/>
      <c r="X12" s="581"/>
    </row>
    <row r="13" spans="1:24" s="576" customFormat="1" ht="24.95" customHeight="1">
      <c r="A13" s="571" t="s">
        <v>673</v>
      </c>
      <c r="B13" s="580" t="s">
        <v>708</v>
      </c>
      <c r="C13" s="568" t="s">
        <v>90</v>
      </c>
      <c r="D13" s="125">
        <v>52</v>
      </c>
      <c r="E13" s="125">
        <v>47</v>
      </c>
      <c r="F13" s="125">
        <v>52</v>
      </c>
      <c r="G13" s="125">
        <v>56</v>
      </c>
      <c r="H13" s="125">
        <v>50</v>
      </c>
      <c r="I13" s="125">
        <v>37</v>
      </c>
      <c r="J13" s="125">
        <v>36</v>
      </c>
      <c r="K13" s="125">
        <v>38</v>
      </c>
      <c r="L13" s="125">
        <v>36</v>
      </c>
      <c r="M13" s="125">
        <v>37</v>
      </c>
      <c r="N13" s="125">
        <v>37</v>
      </c>
      <c r="O13" s="125">
        <v>37</v>
      </c>
      <c r="P13" s="125">
        <v>37</v>
      </c>
      <c r="Q13" s="125">
        <v>37</v>
      </c>
      <c r="R13" s="125">
        <v>36</v>
      </c>
      <c r="S13" s="125">
        <v>36</v>
      </c>
      <c r="T13" s="125">
        <v>36</v>
      </c>
      <c r="V13" s="578"/>
      <c r="W13" s="578"/>
      <c r="X13" s="579"/>
    </row>
    <row r="14" spans="1:24" s="576" customFormat="1" ht="24.95" customHeight="1">
      <c r="A14" s="571" t="s">
        <v>674</v>
      </c>
      <c r="B14" s="572" t="s">
        <v>713</v>
      </c>
      <c r="C14" s="568" t="s">
        <v>90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2</v>
      </c>
      <c r="L14" s="125">
        <v>4</v>
      </c>
      <c r="M14" s="125">
        <v>4</v>
      </c>
      <c r="N14" s="125">
        <v>5</v>
      </c>
      <c r="O14" s="125">
        <v>5</v>
      </c>
      <c r="P14" s="125">
        <v>5</v>
      </c>
      <c r="Q14" s="125">
        <v>6</v>
      </c>
      <c r="R14" s="125">
        <v>6</v>
      </c>
      <c r="S14" s="125">
        <v>6</v>
      </c>
      <c r="T14" s="125">
        <v>6</v>
      </c>
      <c r="V14" s="578"/>
      <c r="W14" s="578"/>
      <c r="X14" s="579"/>
    </row>
    <row r="15" spans="1:24" s="576" customFormat="1" ht="24.95" customHeight="1">
      <c r="A15" s="571" t="s">
        <v>675</v>
      </c>
      <c r="B15" s="580" t="s">
        <v>710</v>
      </c>
      <c r="C15" s="568" t="s">
        <v>90</v>
      </c>
      <c r="D15" s="125">
        <v>2</v>
      </c>
      <c r="E15" s="125">
        <v>5</v>
      </c>
      <c r="F15" s="125">
        <v>3</v>
      </c>
      <c r="G15" s="125">
        <v>5</v>
      </c>
      <c r="H15" s="125">
        <v>3</v>
      </c>
      <c r="I15" s="125">
        <v>3</v>
      </c>
      <c r="J15" s="125">
        <v>4</v>
      </c>
      <c r="K15" s="125">
        <v>5</v>
      </c>
      <c r="L15" s="125">
        <v>5</v>
      </c>
      <c r="M15" s="125">
        <v>7</v>
      </c>
      <c r="N15" s="125">
        <v>7</v>
      </c>
      <c r="O15" s="125">
        <v>8</v>
      </c>
      <c r="P15" s="125">
        <v>8</v>
      </c>
      <c r="Q15" s="125">
        <v>8</v>
      </c>
      <c r="R15" s="125">
        <v>9</v>
      </c>
      <c r="S15" s="125">
        <v>10</v>
      </c>
      <c r="T15" s="125">
        <v>12</v>
      </c>
    </row>
    <row r="16" spans="1:24" s="576" customFormat="1" ht="24.95" customHeight="1">
      <c r="A16" s="571" t="s">
        <v>676</v>
      </c>
      <c r="B16" s="580" t="s">
        <v>711</v>
      </c>
      <c r="C16" s="568" t="s">
        <v>90</v>
      </c>
      <c r="D16" s="125">
        <v>7</v>
      </c>
      <c r="E16" s="125">
        <v>6</v>
      </c>
      <c r="F16" s="125">
        <v>13</v>
      </c>
      <c r="G16" s="125">
        <v>26</v>
      </c>
      <c r="H16" s="125">
        <v>33</v>
      </c>
      <c r="I16" s="125">
        <v>124</v>
      </c>
      <c r="J16" s="125">
        <v>36</v>
      </c>
      <c r="K16" s="125">
        <v>48</v>
      </c>
      <c r="L16" s="125">
        <v>37</v>
      </c>
      <c r="M16" s="125">
        <v>47</v>
      </c>
      <c r="N16" s="125">
        <v>47</v>
      </c>
      <c r="O16" s="125">
        <v>48</v>
      </c>
      <c r="P16" s="125">
        <v>47</v>
      </c>
      <c r="Q16" s="125">
        <v>49</v>
      </c>
      <c r="R16" s="125">
        <v>49</v>
      </c>
      <c r="S16" s="125">
        <v>50</v>
      </c>
      <c r="T16" s="125">
        <v>13</v>
      </c>
      <c r="V16" s="578"/>
      <c r="W16" s="578"/>
    </row>
    <row r="17" spans="1:31" s="576" customFormat="1" ht="24.95" customHeight="1">
      <c r="A17" s="571" t="s">
        <v>677</v>
      </c>
      <c r="B17" s="580" t="s">
        <v>219</v>
      </c>
      <c r="C17" s="568" t="s">
        <v>90</v>
      </c>
      <c r="D17" s="125">
        <v>58</v>
      </c>
      <c r="E17" s="125">
        <v>41</v>
      </c>
      <c r="F17" s="125">
        <v>46</v>
      </c>
      <c r="G17" s="125">
        <v>61</v>
      </c>
      <c r="H17" s="125">
        <v>52</v>
      </c>
      <c r="I17" s="125">
        <v>45</v>
      </c>
      <c r="J17" s="125">
        <v>48</v>
      </c>
      <c r="K17" s="125">
        <v>48</v>
      </c>
      <c r="L17" s="125">
        <v>48</v>
      </c>
      <c r="M17" s="125">
        <v>49</v>
      </c>
      <c r="N17" s="125">
        <v>50</v>
      </c>
      <c r="O17" s="125">
        <v>51</v>
      </c>
      <c r="P17" s="125">
        <v>51</v>
      </c>
      <c r="Q17" s="125">
        <v>51</v>
      </c>
      <c r="R17" s="125">
        <v>51</v>
      </c>
      <c r="S17" s="125">
        <v>51</v>
      </c>
      <c r="T17" s="125">
        <v>23</v>
      </c>
      <c r="V17" s="578"/>
      <c r="W17" s="578"/>
    </row>
    <row r="18" spans="1:31" s="576" customFormat="1" ht="24.95" customHeight="1">
      <c r="A18" s="571" t="s">
        <v>970</v>
      </c>
      <c r="B18" s="580" t="s">
        <v>294</v>
      </c>
      <c r="C18" s="568" t="s">
        <v>90</v>
      </c>
      <c r="D18" s="125">
        <v>5</v>
      </c>
      <c r="E18" s="125">
        <v>3</v>
      </c>
      <c r="F18" s="125">
        <v>4</v>
      </c>
      <c r="G18" s="125">
        <v>3</v>
      </c>
      <c r="H18" s="125">
        <v>47</v>
      </c>
      <c r="I18" s="125">
        <v>48</v>
      </c>
      <c r="J18" s="125">
        <v>42</v>
      </c>
      <c r="K18" s="125">
        <v>43</v>
      </c>
      <c r="L18" s="125">
        <v>4</v>
      </c>
      <c r="M18" s="125">
        <v>44</v>
      </c>
      <c r="N18" s="125">
        <v>46</v>
      </c>
      <c r="O18" s="125">
        <v>46</v>
      </c>
      <c r="P18" s="125">
        <v>46</v>
      </c>
      <c r="Q18" s="125">
        <v>46</v>
      </c>
      <c r="R18" s="125">
        <v>46</v>
      </c>
      <c r="S18" s="125">
        <v>47</v>
      </c>
      <c r="T18" s="125">
        <v>48</v>
      </c>
      <c r="V18" s="578"/>
      <c r="W18" s="578"/>
    </row>
    <row r="19" spans="1:31" s="576" customFormat="1" ht="24.95" customHeight="1">
      <c r="A19" s="571" t="s">
        <v>971</v>
      </c>
      <c r="B19" s="580" t="s">
        <v>137</v>
      </c>
      <c r="C19" s="568" t="s">
        <v>90</v>
      </c>
      <c r="D19" s="125">
        <v>10</v>
      </c>
      <c r="E19" s="125">
        <v>10</v>
      </c>
      <c r="F19" s="125">
        <v>37</v>
      </c>
      <c r="G19" s="125">
        <v>33</v>
      </c>
      <c r="H19" s="125">
        <v>29</v>
      </c>
      <c r="I19" s="125">
        <v>30</v>
      </c>
      <c r="J19" s="125">
        <v>45</v>
      </c>
      <c r="K19" s="125">
        <v>41</v>
      </c>
      <c r="L19" s="125">
        <v>44</v>
      </c>
      <c r="M19" s="125">
        <v>42</v>
      </c>
      <c r="N19" s="125">
        <v>44</v>
      </c>
      <c r="O19" s="125">
        <v>6</v>
      </c>
      <c r="P19" s="125">
        <v>9</v>
      </c>
      <c r="Q19" s="125">
        <v>7</v>
      </c>
      <c r="R19" s="125">
        <v>9</v>
      </c>
      <c r="S19" s="125">
        <v>9</v>
      </c>
      <c r="T19" s="125">
        <v>13</v>
      </c>
      <c r="V19" s="578"/>
      <c r="W19" s="578"/>
    </row>
    <row r="20" spans="1:31" s="576" customFormat="1" ht="24.95" customHeight="1">
      <c r="A20" s="571" t="s">
        <v>972</v>
      </c>
      <c r="B20" s="580" t="s">
        <v>136</v>
      </c>
      <c r="C20" s="568" t="s">
        <v>90</v>
      </c>
      <c r="D20" s="125">
        <v>4</v>
      </c>
      <c r="E20" s="125">
        <v>5</v>
      </c>
      <c r="F20" s="125">
        <v>3</v>
      </c>
      <c r="G20" s="125">
        <v>2</v>
      </c>
      <c r="H20" s="125">
        <v>1</v>
      </c>
      <c r="I20" s="125">
        <v>0</v>
      </c>
      <c r="J20" s="125">
        <v>0</v>
      </c>
      <c r="K20" s="125">
        <v>0</v>
      </c>
      <c r="L20" s="125">
        <v>0</v>
      </c>
      <c r="M20" s="125">
        <v>0</v>
      </c>
      <c r="N20" s="125">
        <v>0</v>
      </c>
      <c r="O20" s="125">
        <v>1</v>
      </c>
      <c r="P20" s="125">
        <v>1</v>
      </c>
      <c r="Q20" s="125">
        <v>0</v>
      </c>
      <c r="R20" s="125">
        <v>0</v>
      </c>
      <c r="S20" s="125">
        <v>0</v>
      </c>
      <c r="T20" s="125">
        <v>0</v>
      </c>
      <c r="V20" s="578"/>
      <c r="W20" s="578"/>
    </row>
    <row r="21" spans="1:31" s="576" customFormat="1" ht="24.95" customHeight="1">
      <c r="A21" s="571" t="s">
        <v>973</v>
      </c>
      <c r="B21" s="580" t="s">
        <v>135</v>
      </c>
      <c r="C21" s="568" t="s">
        <v>90</v>
      </c>
      <c r="D21" s="125">
        <v>46</v>
      </c>
      <c r="E21" s="125">
        <v>48</v>
      </c>
      <c r="F21" s="125">
        <v>48</v>
      </c>
      <c r="G21" s="125">
        <v>48</v>
      </c>
      <c r="H21" s="125">
        <v>39</v>
      </c>
      <c r="I21" s="125">
        <v>32</v>
      </c>
      <c r="J21" s="125">
        <v>30</v>
      </c>
      <c r="K21" s="125">
        <v>30</v>
      </c>
      <c r="L21" s="125">
        <v>31</v>
      </c>
      <c r="M21" s="125">
        <v>30</v>
      </c>
      <c r="N21" s="125">
        <v>30</v>
      </c>
      <c r="O21" s="125">
        <v>30</v>
      </c>
      <c r="P21" s="125">
        <v>30</v>
      </c>
      <c r="Q21" s="125">
        <v>30</v>
      </c>
      <c r="R21" s="125">
        <v>30</v>
      </c>
      <c r="S21" s="125">
        <v>30</v>
      </c>
      <c r="T21" s="125">
        <v>32</v>
      </c>
      <c r="V21" s="582"/>
      <c r="W21" s="582"/>
    </row>
    <row r="22" spans="1:31" s="576" customFormat="1" ht="24.95" customHeight="1">
      <c r="A22" s="568">
        <v>3</v>
      </c>
      <c r="B22" s="569" t="s">
        <v>704</v>
      </c>
      <c r="C22" s="568" t="s">
        <v>94</v>
      </c>
      <c r="D22" s="136">
        <f t="shared" ref="D22:T22" si="1">D23+D27</f>
        <v>10682</v>
      </c>
      <c r="E22" s="136">
        <f t="shared" si="1"/>
        <v>9117</v>
      </c>
      <c r="F22" s="136">
        <f t="shared" si="1"/>
        <v>10251</v>
      </c>
      <c r="G22" s="136">
        <f t="shared" si="1"/>
        <v>10321</v>
      </c>
      <c r="H22" s="136">
        <f t="shared" si="1"/>
        <v>10878</v>
      </c>
      <c r="I22" s="136">
        <f t="shared" si="1"/>
        <v>12026</v>
      </c>
      <c r="J22" s="136">
        <f t="shared" si="1"/>
        <v>6888</v>
      </c>
      <c r="K22" s="136">
        <f t="shared" si="1"/>
        <v>6886</v>
      </c>
      <c r="L22" s="136">
        <f t="shared" si="1"/>
        <v>7095</v>
      </c>
      <c r="M22" s="136">
        <f t="shared" si="1"/>
        <v>7105</v>
      </c>
      <c r="N22" s="136">
        <f t="shared" si="1"/>
        <v>7309</v>
      </c>
      <c r="O22" s="136">
        <f t="shared" si="1"/>
        <v>6618</v>
      </c>
      <c r="P22" s="136">
        <f t="shared" si="1"/>
        <v>6798</v>
      </c>
      <c r="Q22" s="136">
        <f t="shared" si="1"/>
        <v>6730</v>
      </c>
      <c r="R22" s="136">
        <f t="shared" si="1"/>
        <v>6883</v>
      </c>
      <c r="S22" s="136">
        <f t="shared" si="1"/>
        <v>7105</v>
      </c>
      <c r="T22" s="136">
        <f t="shared" si="1"/>
        <v>10715</v>
      </c>
      <c r="V22" s="800"/>
      <c r="W22" s="800"/>
      <c r="X22" s="800"/>
      <c r="Y22" s="800"/>
      <c r="Z22" s="800"/>
      <c r="AA22" s="800"/>
      <c r="AB22" s="800"/>
      <c r="AC22" s="800"/>
      <c r="AD22" s="800"/>
      <c r="AE22" s="800"/>
    </row>
    <row r="23" spans="1:31" s="576" customFormat="1" ht="24.95" customHeight="1">
      <c r="A23" s="571" t="s">
        <v>589</v>
      </c>
      <c r="B23" s="572" t="s">
        <v>705</v>
      </c>
      <c r="C23" s="568" t="s">
        <v>90</v>
      </c>
      <c r="D23" s="125">
        <f t="shared" ref="D23:T23" si="2">D24+D25+D26</f>
        <v>4381</v>
      </c>
      <c r="E23" s="125">
        <f t="shared" si="2"/>
        <v>2922</v>
      </c>
      <c r="F23" s="125">
        <f t="shared" si="2"/>
        <v>3547</v>
      </c>
      <c r="G23" s="125">
        <f t="shared" si="2"/>
        <v>3095</v>
      </c>
      <c r="H23" s="125">
        <f t="shared" si="2"/>
        <v>4577</v>
      </c>
      <c r="I23" s="125">
        <f t="shared" si="2"/>
        <v>1561</v>
      </c>
      <c r="J23" s="125">
        <f t="shared" si="2"/>
        <v>3325</v>
      </c>
      <c r="K23" s="125">
        <f t="shared" si="2"/>
        <v>3170</v>
      </c>
      <c r="L23" s="125">
        <f t="shared" si="2"/>
        <v>3175</v>
      </c>
      <c r="M23" s="125">
        <f t="shared" si="2"/>
        <v>3125</v>
      </c>
      <c r="N23" s="125">
        <f t="shared" si="2"/>
        <v>3155</v>
      </c>
      <c r="O23" s="125">
        <f t="shared" si="2"/>
        <v>2345</v>
      </c>
      <c r="P23" s="125">
        <f t="shared" si="2"/>
        <v>2355</v>
      </c>
      <c r="Q23" s="125">
        <f t="shared" si="2"/>
        <v>2325</v>
      </c>
      <c r="R23" s="125">
        <f t="shared" si="2"/>
        <v>2355</v>
      </c>
      <c r="S23" s="125">
        <f t="shared" si="2"/>
        <v>2345</v>
      </c>
      <c r="T23" s="125">
        <f t="shared" si="2"/>
        <v>5375</v>
      </c>
      <c r="V23" s="583"/>
      <c r="W23" s="583"/>
      <c r="X23" s="583"/>
      <c r="Y23" s="583"/>
      <c r="Z23" s="583"/>
      <c r="AA23" s="583"/>
      <c r="AB23" s="583"/>
      <c r="AC23" s="583"/>
      <c r="AD23" s="583"/>
      <c r="AE23" s="583"/>
    </row>
    <row r="24" spans="1:31" s="576" customFormat="1" ht="24.95" customHeight="1">
      <c r="A24" s="571" t="s">
        <v>590</v>
      </c>
      <c r="B24" s="580" t="s">
        <v>706</v>
      </c>
      <c r="C24" s="568" t="s">
        <v>90</v>
      </c>
      <c r="D24" s="125">
        <v>2579</v>
      </c>
      <c r="E24" s="125">
        <v>1279</v>
      </c>
      <c r="F24" s="125">
        <v>1908</v>
      </c>
      <c r="G24" s="125">
        <v>1119</v>
      </c>
      <c r="H24" s="125">
        <v>2962</v>
      </c>
      <c r="I24" s="125">
        <v>387</v>
      </c>
      <c r="J24" s="125">
        <v>2000</v>
      </c>
      <c r="K24" s="125">
        <v>1800</v>
      </c>
      <c r="L24" s="125">
        <v>1800</v>
      </c>
      <c r="M24" s="125">
        <v>1800</v>
      </c>
      <c r="N24" s="125">
        <v>1800</v>
      </c>
      <c r="O24" s="125">
        <v>1000</v>
      </c>
      <c r="P24" s="125">
        <v>1000</v>
      </c>
      <c r="Q24" s="125">
        <v>1000</v>
      </c>
      <c r="R24" s="125">
        <v>1000</v>
      </c>
      <c r="S24" s="125">
        <v>1000</v>
      </c>
      <c r="T24" s="125">
        <v>4000</v>
      </c>
      <c r="V24" s="584"/>
      <c r="W24" s="584"/>
      <c r="X24" s="584"/>
      <c r="Y24" s="584"/>
      <c r="Z24" s="584"/>
      <c r="AA24" s="584"/>
      <c r="AB24" s="584"/>
      <c r="AC24" s="584"/>
      <c r="AD24" s="584"/>
      <c r="AE24" s="584"/>
    </row>
    <row r="25" spans="1:31" s="576" customFormat="1" ht="24.95" customHeight="1">
      <c r="A25" s="571" t="s">
        <v>591</v>
      </c>
      <c r="B25" s="580" t="s">
        <v>707</v>
      </c>
      <c r="C25" s="568" t="s">
        <v>90</v>
      </c>
      <c r="D25" s="125">
        <v>0</v>
      </c>
      <c r="E25" s="125">
        <v>116</v>
      </c>
      <c r="F25" s="125">
        <v>136</v>
      </c>
      <c r="G25" s="125">
        <v>156</v>
      </c>
      <c r="H25" s="125">
        <v>120</v>
      </c>
      <c r="I25" s="125">
        <v>176</v>
      </c>
      <c r="J25" s="125">
        <v>200</v>
      </c>
      <c r="K25" s="125">
        <v>170</v>
      </c>
      <c r="L25" s="125">
        <v>175</v>
      </c>
      <c r="M25" s="125">
        <v>125</v>
      </c>
      <c r="N25" s="125">
        <v>155</v>
      </c>
      <c r="O25" s="125">
        <v>145</v>
      </c>
      <c r="P25" s="125">
        <v>155</v>
      </c>
      <c r="Q25" s="125">
        <v>125</v>
      </c>
      <c r="R25" s="125">
        <v>155</v>
      </c>
      <c r="S25" s="125">
        <v>145</v>
      </c>
      <c r="T25" s="125">
        <v>175</v>
      </c>
      <c r="V25" s="584"/>
      <c r="W25" s="584"/>
      <c r="X25" s="584"/>
      <c r="Y25" s="584"/>
      <c r="Z25" s="584"/>
      <c r="AA25" s="584"/>
      <c r="AB25" s="584"/>
      <c r="AC25" s="584"/>
      <c r="AD25" s="584"/>
      <c r="AE25" s="584"/>
    </row>
    <row r="26" spans="1:31" s="576" customFormat="1" ht="24.95" customHeight="1">
      <c r="A26" s="571" t="s">
        <v>592</v>
      </c>
      <c r="B26" s="580" t="s">
        <v>708</v>
      </c>
      <c r="C26" s="568" t="s">
        <v>90</v>
      </c>
      <c r="D26" s="125">
        <v>1802</v>
      </c>
      <c r="E26" s="125">
        <v>1527</v>
      </c>
      <c r="F26" s="125">
        <v>1503</v>
      </c>
      <c r="G26" s="125">
        <v>1820</v>
      </c>
      <c r="H26" s="125">
        <v>1495</v>
      </c>
      <c r="I26" s="125">
        <v>998</v>
      </c>
      <c r="J26" s="125">
        <v>1125</v>
      </c>
      <c r="K26" s="125">
        <v>1200</v>
      </c>
      <c r="L26" s="125">
        <v>1200</v>
      </c>
      <c r="M26" s="125">
        <v>1200</v>
      </c>
      <c r="N26" s="125">
        <v>1200</v>
      </c>
      <c r="O26" s="125">
        <v>1200</v>
      </c>
      <c r="P26" s="125">
        <v>1200</v>
      </c>
      <c r="Q26" s="125">
        <v>1200</v>
      </c>
      <c r="R26" s="125">
        <v>1200</v>
      </c>
      <c r="S26" s="125">
        <v>1200</v>
      </c>
      <c r="T26" s="125">
        <v>1200</v>
      </c>
      <c r="V26" s="584"/>
      <c r="W26" s="584"/>
      <c r="X26" s="584"/>
      <c r="Y26" s="584"/>
      <c r="Z26" s="584"/>
      <c r="AA26" s="584"/>
      <c r="AB26" s="584"/>
      <c r="AC26" s="584"/>
      <c r="AD26" s="584"/>
      <c r="AE26" s="584"/>
    </row>
    <row r="27" spans="1:31" s="576" customFormat="1" ht="24.95" customHeight="1">
      <c r="A27" s="571" t="s">
        <v>593</v>
      </c>
      <c r="B27" s="572" t="s">
        <v>709</v>
      </c>
      <c r="C27" s="568" t="s">
        <v>90</v>
      </c>
      <c r="D27" s="125">
        <f t="shared" ref="D27:T27" si="3">D28+D29+D30+D31+D32+D33+D34</f>
        <v>6301</v>
      </c>
      <c r="E27" s="125">
        <f t="shared" si="3"/>
        <v>6195</v>
      </c>
      <c r="F27" s="125">
        <f t="shared" si="3"/>
        <v>6704</v>
      </c>
      <c r="G27" s="125">
        <f t="shared" si="3"/>
        <v>7226</v>
      </c>
      <c r="H27" s="125">
        <f t="shared" si="3"/>
        <v>6301</v>
      </c>
      <c r="I27" s="125">
        <f t="shared" si="3"/>
        <v>10465</v>
      </c>
      <c r="J27" s="125">
        <f t="shared" si="3"/>
        <v>3563</v>
      </c>
      <c r="K27" s="125">
        <f t="shared" si="3"/>
        <v>3716</v>
      </c>
      <c r="L27" s="125">
        <f t="shared" si="3"/>
        <v>3920</v>
      </c>
      <c r="M27" s="125">
        <f t="shared" si="3"/>
        <v>3980</v>
      </c>
      <c r="N27" s="125">
        <f t="shared" si="3"/>
        <v>4154</v>
      </c>
      <c r="O27" s="125">
        <f t="shared" si="3"/>
        <v>4273</v>
      </c>
      <c r="P27" s="125">
        <f t="shared" si="3"/>
        <v>4443</v>
      </c>
      <c r="Q27" s="125">
        <f t="shared" si="3"/>
        <v>4405</v>
      </c>
      <c r="R27" s="125">
        <f t="shared" si="3"/>
        <v>4528</v>
      </c>
      <c r="S27" s="125">
        <f t="shared" si="3"/>
        <v>4760</v>
      </c>
      <c r="T27" s="125">
        <f t="shared" si="3"/>
        <v>5340</v>
      </c>
      <c r="V27" s="584"/>
      <c r="W27" s="584"/>
      <c r="X27" s="584"/>
      <c r="Y27" s="584"/>
      <c r="Z27" s="584"/>
      <c r="AA27" s="584"/>
      <c r="AB27" s="584"/>
      <c r="AC27" s="584"/>
      <c r="AD27" s="584"/>
      <c r="AE27" s="584"/>
    </row>
    <row r="28" spans="1:31" s="576" customFormat="1" ht="24.95" customHeight="1">
      <c r="A28" s="571" t="s">
        <v>594</v>
      </c>
      <c r="B28" s="580" t="s">
        <v>710</v>
      </c>
      <c r="C28" s="568" t="s">
        <v>90</v>
      </c>
      <c r="D28" s="125">
        <v>44</v>
      </c>
      <c r="E28" s="125">
        <v>149</v>
      </c>
      <c r="F28" s="125">
        <v>74</v>
      </c>
      <c r="G28" s="125">
        <v>149</v>
      </c>
      <c r="H28" s="125">
        <v>83</v>
      </c>
      <c r="I28" s="125">
        <v>71</v>
      </c>
      <c r="J28" s="125">
        <v>140</v>
      </c>
      <c r="K28" s="125">
        <v>177</v>
      </c>
      <c r="L28" s="125">
        <v>220</v>
      </c>
      <c r="M28" s="125">
        <v>285</v>
      </c>
      <c r="N28" s="125">
        <v>299</v>
      </c>
      <c r="O28" s="125">
        <v>355</v>
      </c>
      <c r="P28" s="125">
        <v>360</v>
      </c>
      <c r="Q28" s="125">
        <v>395</v>
      </c>
      <c r="R28" s="125">
        <v>415</v>
      </c>
      <c r="S28" s="125">
        <v>485</v>
      </c>
      <c r="T28" s="125">
        <v>580</v>
      </c>
      <c r="V28" s="584"/>
      <c r="W28" s="584"/>
      <c r="X28" s="584"/>
      <c r="Y28" s="584"/>
      <c r="Z28" s="584"/>
      <c r="AA28" s="584"/>
      <c r="AB28" s="584"/>
      <c r="AC28" s="584"/>
      <c r="AD28" s="584"/>
      <c r="AE28" s="584"/>
    </row>
    <row r="29" spans="1:31" s="576" customFormat="1" ht="24.95" customHeight="1">
      <c r="A29" s="571" t="s">
        <v>595</v>
      </c>
      <c r="B29" s="580" t="s">
        <v>711</v>
      </c>
      <c r="C29" s="568" t="s">
        <v>90</v>
      </c>
      <c r="D29" s="125">
        <v>159</v>
      </c>
      <c r="E29" s="125">
        <v>150</v>
      </c>
      <c r="F29" s="125">
        <v>362</v>
      </c>
      <c r="G29" s="125">
        <v>805</v>
      </c>
      <c r="H29" s="125">
        <v>1192</v>
      </c>
      <c r="I29" s="125">
        <v>5343</v>
      </c>
      <c r="J29" s="125">
        <v>260</v>
      </c>
      <c r="K29" s="125">
        <v>335</v>
      </c>
      <c r="L29" s="125">
        <v>305</v>
      </c>
      <c r="M29" s="125">
        <v>310</v>
      </c>
      <c r="N29" s="125">
        <v>325</v>
      </c>
      <c r="O29" s="125">
        <v>385</v>
      </c>
      <c r="P29" s="125">
        <v>365</v>
      </c>
      <c r="Q29" s="125">
        <v>415</v>
      </c>
      <c r="R29" s="125">
        <v>418</v>
      </c>
      <c r="S29" s="125">
        <v>480</v>
      </c>
      <c r="T29" s="125">
        <v>615</v>
      </c>
      <c r="V29" s="584"/>
      <c r="W29" s="584"/>
      <c r="X29" s="584"/>
      <c r="Y29" s="584"/>
      <c r="Z29" s="584"/>
      <c r="AA29" s="584"/>
      <c r="AB29" s="584"/>
      <c r="AC29" s="584"/>
      <c r="AD29" s="584"/>
      <c r="AE29" s="584"/>
    </row>
    <row r="30" spans="1:31" s="576" customFormat="1" ht="24.95" customHeight="1">
      <c r="A30" s="571" t="s">
        <v>596</v>
      </c>
      <c r="B30" s="580" t="s">
        <v>219</v>
      </c>
      <c r="C30" s="568" t="s">
        <v>90</v>
      </c>
      <c r="D30" s="125">
        <v>1440</v>
      </c>
      <c r="E30" s="125">
        <v>1078</v>
      </c>
      <c r="F30" s="125">
        <v>1252</v>
      </c>
      <c r="G30" s="125">
        <v>1436</v>
      </c>
      <c r="H30" s="125">
        <v>1393</v>
      </c>
      <c r="I30" s="125">
        <v>1162</v>
      </c>
      <c r="J30" s="125">
        <v>525</v>
      </c>
      <c r="K30" s="125">
        <v>545</v>
      </c>
      <c r="L30" s="125">
        <v>540</v>
      </c>
      <c r="M30" s="125">
        <v>615</v>
      </c>
      <c r="N30" s="125">
        <v>630</v>
      </c>
      <c r="O30" s="125">
        <v>665</v>
      </c>
      <c r="P30" s="125">
        <v>700</v>
      </c>
      <c r="Q30" s="125">
        <v>705</v>
      </c>
      <c r="R30" s="125">
        <v>725</v>
      </c>
      <c r="S30" s="125">
        <v>740</v>
      </c>
      <c r="T30" s="125">
        <v>790</v>
      </c>
      <c r="V30" s="584"/>
      <c r="W30" s="584"/>
      <c r="X30" s="584"/>
      <c r="Y30" s="584"/>
      <c r="Z30" s="584"/>
      <c r="AA30" s="584"/>
      <c r="AB30" s="584"/>
      <c r="AC30" s="584"/>
      <c r="AD30" s="584"/>
      <c r="AE30" s="584"/>
    </row>
    <row r="31" spans="1:31" s="576" customFormat="1" ht="24.95" customHeight="1">
      <c r="A31" s="571" t="s">
        <v>632</v>
      </c>
      <c r="B31" s="580" t="s">
        <v>294</v>
      </c>
      <c r="C31" s="568" t="s">
        <v>90</v>
      </c>
      <c r="D31" s="125">
        <v>65</v>
      </c>
      <c r="E31" s="125">
        <v>80</v>
      </c>
      <c r="F31" s="125">
        <v>81</v>
      </c>
      <c r="G31" s="125">
        <v>52</v>
      </c>
      <c r="H31" s="125">
        <v>508</v>
      </c>
      <c r="I31" s="125">
        <v>966</v>
      </c>
      <c r="J31" s="125">
        <v>100</v>
      </c>
      <c r="K31" s="125">
        <v>160</v>
      </c>
      <c r="L31" s="125">
        <v>150</v>
      </c>
      <c r="M31" s="125">
        <v>230</v>
      </c>
      <c r="N31" s="125">
        <v>300</v>
      </c>
      <c r="O31" s="125">
        <v>320</v>
      </c>
      <c r="P31" s="125">
        <v>320</v>
      </c>
      <c r="Q31" s="125">
        <v>335</v>
      </c>
      <c r="R31" s="125">
        <v>345</v>
      </c>
      <c r="S31" s="125">
        <v>385</v>
      </c>
      <c r="T31" s="125">
        <v>420</v>
      </c>
      <c r="V31" s="584"/>
      <c r="W31" s="584"/>
      <c r="X31" s="584"/>
      <c r="Y31" s="584"/>
      <c r="Z31" s="584"/>
      <c r="AA31" s="584"/>
      <c r="AB31" s="584"/>
      <c r="AC31" s="584"/>
      <c r="AD31" s="584"/>
      <c r="AE31" s="584"/>
    </row>
    <row r="32" spans="1:31" s="576" customFormat="1" ht="24.95" customHeight="1">
      <c r="A32" s="571" t="s">
        <v>633</v>
      </c>
      <c r="B32" s="580" t="s">
        <v>137</v>
      </c>
      <c r="C32" s="568" t="s">
        <v>90</v>
      </c>
      <c r="D32" s="125">
        <v>369</v>
      </c>
      <c r="E32" s="125">
        <v>435</v>
      </c>
      <c r="F32" s="125">
        <v>528</v>
      </c>
      <c r="G32" s="125">
        <v>505</v>
      </c>
      <c r="H32" s="125">
        <v>471</v>
      </c>
      <c r="I32" s="125">
        <v>405</v>
      </c>
      <c r="J32" s="125">
        <v>338</v>
      </c>
      <c r="K32" s="125">
        <v>299</v>
      </c>
      <c r="L32" s="125">
        <v>435</v>
      </c>
      <c r="M32" s="125">
        <v>340</v>
      </c>
      <c r="N32" s="125">
        <v>400</v>
      </c>
      <c r="O32" s="125">
        <v>348</v>
      </c>
      <c r="P32" s="125">
        <v>428</v>
      </c>
      <c r="Q32" s="125">
        <v>355</v>
      </c>
      <c r="R32" s="125">
        <v>425</v>
      </c>
      <c r="S32" s="125">
        <v>470</v>
      </c>
      <c r="T32" s="125">
        <v>595</v>
      </c>
      <c r="V32" s="584"/>
      <c r="W32" s="584"/>
      <c r="X32" s="584"/>
      <c r="Y32" s="584"/>
      <c r="Z32" s="584"/>
      <c r="AA32" s="584"/>
      <c r="AB32" s="584"/>
      <c r="AC32" s="584"/>
      <c r="AD32" s="584"/>
      <c r="AE32" s="584"/>
    </row>
    <row r="33" spans="1:31" s="576" customFormat="1" ht="24.95" customHeight="1">
      <c r="A33" s="571" t="s">
        <v>974</v>
      </c>
      <c r="B33" s="580" t="s">
        <v>136</v>
      </c>
      <c r="C33" s="568" t="s">
        <v>90</v>
      </c>
      <c r="D33" s="125">
        <v>210</v>
      </c>
      <c r="E33" s="125">
        <v>270</v>
      </c>
      <c r="F33" s="125">
        <v>317</v>
      </c>
      <c r="G33" s="125">
        <v>249</v>
      </c>
      <c r="H33" s="125">
        <v>84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125">
        <v>0</v>
      </c>
      <c r="P33" s="125">
        <v>0</v>
      </c>
      <c r="Q33" s="125">
        <v>0</v>
      </c>
      <c r="R33" s="125">
        <v>0</v>
      </c>
      <c r="S33" s="125">
        <v>0</v>
      </c>
      <c r="T33" s="125">
        <v>0</v>
      </c>
      <c r="V33" s="584"/>
      <c r="W33" s="584"/>
      <c r="X33" s="584"/>
      <c r="Y33" s="584"/>
      <c r="Z33" s="584"/>
      <c r="AA33" s="584"/>
      <c r="AB33" s="584"/>
      <c r="AC33" s="584"/>
      <c r="AD33" s="584"/>
      <c r="AE33" s="584"/>
    </row>
    <row r="34" spans="1:31" s="576" customFormat="1" ht="24.95" customHeight="1">
      <c r="A34" s="571" t="s">
        <v>975</v>
      </c>
      <c r="B34" s="580" t="s">
        <v>135</v>
      </c>
      <c r="C34" s="568" t="s">
        <v>90</v>
      </c>
      <c r="D34" s="125">
        <v>4014</v>
      </c>
      <c r="E34" s="125">
        <v>4033</v>
      </c>
      <c r="F34" s="125">
        <v>4090</v>
      </c>
      <c r="G34" s="125">
        <v>4030</v>
      </c>
      <c r="H34" s="125">
        <v>2570</v>
      </c>
      <c r="I34" s="125">
        <v>2518</v>
      </c>
      <c r="J34" s="125">
        <v>2200</v>
      </c>
      <c r="K34" s="125">
        <v>2200</v>
      </c>
      <c r="L34" s="125">
        <v>2270</v>
      </c>
      <c r="M34" s="125">
        <v>2200</v>
      </c>
      <c r="N34" s="125">
        <v>2200</v>
      </c>
      <c r="O34" s="125">
        <v>2200</v>
      </c>
      <c r="P34" s="125">
        <v>2270</v>
      </c>
      <c r="Q34" s="125">
        <v>2200</v>
      </c>
      <c r="R34" s="125">
        <v>2200</v>
      </c>
      <c r="S34" s="125">
        <v>2200</v>
      </c>
      <c r="T34" s="125">
        <v>2340</v>
      </c>
      <c r="V34" s="585"/>
      <c r="W34" s="585"/>
      <c r="X34" s="585"/>
      <c r="Y34" s="585"/>
      <c r="Z34" s="585"/>
      <c r="AA34" s="585"/>
      <c r="AB34" s="585"/>
      <c r="AC34" s="585"/>
      <c r="AD34" s="585"/>
      <c r="AE34" s="585"/>
    </row>
    <row r="35" spans="1:31" s="576" customFormat="1" ht="24.95" customHeight="1">
      <c r="A35" s="568">
        <v>4</v>
      </c>
      <c r="B35" s="569" t="s">
        <v>215</v>
      </c>
      <c r="C35" s="568"/>
      <c r="D35" s="133">
        <f t="shared" ref="D35:T35" si="4">D36+D37+D42</f>
        <v>133</v>
      </c>
      <c r="E35" s="133">
        <f t="shared" si="4"/>
        <v>135</v>
      </c>
      <c r="F35" s="133">
        <f t="shared" si="4"/>
        <v>158</v>
      </c>
      <c r="G35" s="133">
        <f t="shared" si="4"/>
        <v>164</v>
      </c>
      <c r="H35" s="133">
        <f t="shared" si="4"/>
        <v>162</v>
      </c>
      <c r="I35" s="133">
        <f t="shared" si="4"/>
        <v>163</v>
      </c>
      <c r="J35" s="133">
        <f t="shared" si="4"/>
        <v>171</v>
      </c>
      <c r="K35" s="133">
        <f t="shared" si="4"/>
        <v>175</v>
      </c>
      <c r="L35" s="133">
        <f t="shared" si="4"/>
        <v>175</v>
      </c>
      <c r="M35" s="133">
        <f t="shared" si="4"/>
        <v>175</v>
      </c>
      <c r="N35" s="133">
        <f t="shared" si="4"/>
        <v>182</v>
      </c>
      <c r="O35" s="133">
        <f t="shared" si="4"/>
        <v>182</v>
      </c>
      <c r="P35" s="133">
        <f t="shared" si="4"/>
        <v>181</v>
      </c>
      <c r="Q35" s="133">
        <f t="shared" si="4"/>
        <v>182</v>
      </c>
      <c r="R35" s="133">
        <f t="shared" si="4"/>
        <v>182</v>
      </c>
      <c r="S35" s="133">
        <f t="shared" si="4"/>
        <v>182</v>
      </c>
      <c r="T35" s="133">
        <f t="shared" si="4"/>
        <v>182</v>
      </c>
    </row>
    <row r="36" spans="1:31" s="576" customFormat="1" ht="24.95" customHeight="1">
      <c r="A36" s="571" t="s">
        <v>599</v>
      </c>
      <c r="B36" s="572" t="s">
        <v>614</v>
      </c>
      <c r="C36" s="571" t="s">
        <v>90</v>
      </c>
      <c r="D36" s="125">
        <v>19</v>
      </c>
      <c r="E36" s="125">
        <v>18</v>
      </c>
      <c r="F36" s="125">
        <v>19</v>
      </c>
      <c r="G36" s="125">
        <v>20</v>
      </c>
      <c r="H36" s="125">
        <v>19</v>
      </c>
      <c r="I36" s="125">
        <v>18</v>
      </c>
      <c r="J36" s="125">
        <v>20</v>
      </c>
      <c r="K36" s="125">
        <v>20</v>
      </c>
      <c r="L36" s="125">
        <v>20</v>
      </c>
      <c r="M36" s="125">
        <v>20</v>
      </c>
      <c r="N36" s="125">
        <v>20</v>
      </c>
      <c r="O36" s="125">
        <v>20</v>
      </c>
      <c r="P36" s="125">
        <v>20</v>
      </c>
      <c r="Q36" s="125">
        <v>20</v>
      </c>
      <c r="R36" s="125">
        <v>20</v>
      </c>
      <c r="S36" s="125">
        <v>20</v>
      </c>
      <c r="T36" s="125">
        <v>20</v>
      </c>
    </row>
    <row r="37" spans="1:31" s="576" customFormat="1" ht="24.95" customHeight="1">
      <c r="A37" s="571" t="s">
        <v>600</v>
      </c>
      <c r="B37" s="580" t="s">
        <v>645</v>
      </c>
      <c r="C37" s="571" t="s">
        <v>90</v>
      </c>
      <c r="D37" s="127">
        <v>70</v>
      </c>
      <c r="E37" s="127">
        <v>71</v>
      </c>
      <c r="F37" s="127">
        <v>85</v>
      </c>
      <c r="G37" s="127">
        <v>88</v>
      </c>
      <c r="H37" s="127">
        <v>87</v>
      </c>
      <c r="I37" s="127">
        <v>87</v>
      </c>
      <c r="J37" s="127">
        <v>97</v>
      </c>
      <c r="K37" s="127">
        <v>97</v>
      </c>
      <c r="L37" s="127">
        <v>97</v>
      </c>
      <c r="M37" s="127">
        <v>97</v>
      </c>
      <c r="N37" s="127">
        <v>104</v>
      </c>
      <c r="O37" s="127">
        <v>104</v>
      </c>
      <c r="P37" s="127">
        <v>104</v>
      </c>
      <c r="Q37" s="127">
        <v>104</v>
      </c>
      <c r="R37" s="127">
        <v>104</v>
      </c>
      <c r="S37" s="127">
        <v>104</v>
      </c>
      <c r="T37" s="127">
        <v>104</v>
      </c>
    </row>
    <row r="38" spans="1:31" s="576" customFormat="1" ht="24.95" customHeight="1">
      <c r="A38" s="568"/>
      <c r="B38" s="580" t="s">
        <v>217</v>
      </c>
      <c r="C38" s="571" t="s">
        <v>90</v>
      </c>
      <c r="D38" s="127">
        <f t="shared" ref="D38:T38" si="5">D39+D40+D41</f>
        <v>70</v>
      </c>
      <c r="E38" s="127">
        <f t="shared" si="5"/>
        <v>71</v>
      </c>
      <c r="F38" s="127">
        <f t="shared" si="5"/>
        <v>85</v>
      </c>
      <c r="G38" s="127">
        <f t="shared" si="5"/>
        <v>88</v>
      </c>
      <c r="H38" s="127">
        <f t="shared" si="5"/>
        <v>87</v>
      </c>
      <c r="I38" s="127">
        <f t="shared" si="5"/>
        <v>87</v>
      </c>
      <c r="J38" s="127">
        <f t="shared" si="5"/>
        <v>87</v>
      </c>
      <c r="K38" s="127">
        <f t="shared" si="5"/>
        <v>101</v>
      </c>
      <c r="L38" s="127">
        <f t="shared" si="5"/>
        <v>102</v>
      </c>
      <c r="M38" s="127">
        <f t="shared" si="5"/>
        <v>114</v>
      </c>
      <c r="N38" s="127">
        <f t="shared" si="5"/>
        <v>116</v>
      </c>
      <c r="O38" s="127">
        <f t="shared" si="5"/>
        <v>116</v>
      </c>
      <c r="P38" s="127">
        <f t="shared" si="5"/>
        <v>122</v>
      </c>
      <c r="Q38" s="127">
        <f t="shared" si="5"/>
        <v>123</v>
      </c>
      <c r="R38" s="127">
        <f t="shared" si="5"/>
        <v>130</v>
      </c>
      <c r="S38" s="127">
        <f t="shared" si="5"/>
        <v>131</v>
      </c>
      <c r="T38" s="127">
        <f t="shared" si="5"/>
        <v>137</v>
      </c>
    </row>
    <row r="39" spans="1:31" s="576" customFormat="1" ht="24.95" customHeight="1">
      <c r="A39" s="568"/>
      <c r="B39" s="586" t="s">
        <v>619</v>
      </c>
      <c r="C39" s="571" t="s">
        <v>90</v>
      </c>
      <c r="D39" s="125">
        <v>2</v>
      </c>
      <c r="E39" s="125">
        <v>2</v>
      </c>
      <c r="F39" s="125">
        <v>2</v>
      </c>
      <c r="G39" s="125">
        <v>2</v>
      </c>
      <c r="H39" s="125">
        <v>2</v>
      </c>
      <c r="I39" s="125">
        <v>7</v>
      </c>
      <c r="J39" s="125">
        <v>11</v>
      </c>
      <c r="K39" s="125">
        <v>11</v>
      </c>
      <c r="L39" s="125">
        <v>12</v>
      </c>
      <c r="M39" s="125">
        <v>13</v>
      </c>
      <c r="N39" s="125">
        <v>21</v>
      </c>
      <c r="O39" s="125">
        <v>21</v>
      </c>
      <c r="P39" s="125">
        <v>22</v>
      </c>
      <c r="Q39" s="125">
        <v>23</v>
      </c>
      <c r="R39" s="125">
        <v>30</v>
      </c>
      <c r="S39" s="125">
        <v>31</v>
      </c>
      <c r="T39" s="125">
        <v>32</v>
      </c>
    </row>
    <row r="40" spans="1:31" s="576" customFormat="1" ht="24.95" customHeight="1">
      <c r="A40" s="568"/>
      <c r="B40" s="586" t="s">
        <v>616</v>
      </c>
      <c r="C40" s="571" t="s">
        <v>90</v>
      </c>
      <c r="D40" s="125">
        <v>60</v>
      </c>
      <c r="E40" s="125">
        <v>60</v>
      </c>
      <c r="F40" s="125">
        <v>79</v>
      </c>
      <c r="G40" s="125">
        <v>82</v>
      </c>
      <c r="H40" s="125">
        <v>83</v>
      </c>
      <c r="I40" s="125">
        <v>79</v>
      </c>
      <c r="J40" s="125">
        <v>76</v>
      </c>
      <c r="K40" s="125">
        <v>90</v>
      </c>
      <c r="L40" s="125">
        <v>90</v>
      </c>
      <c r="M40" s="125">
        <v>101</v>
      </c>
      <c r="N40" s="125">
        <v>95</v>
      </c>
      <c r="O40" s="125">
        <v>95</v>
      </c>
      <c r="P40" s="125">
        <v>100</v>
      </c>
      <c r="Q40" s="125">
        <v>100</v>
      </c>
      <c r="R40" s="125">
        <v>100</v>
      </c>
      <c r="S40" s="125">
        <v>100</v>
      </c>
      <c r="T40" s="125">
        <v>105</v>
      </c>
    </row>
    <row r="41" spans="1:31" s="576" customFormat="1" ht="24.95" customHeight="1">
      <c r="A41" s="568"/>
      <c r="B41" s="586" t="s">
        <v>617</v>
      </c>
      <c r="C41" s="571" t="s">
        <v>90</v>
      </c>
      <c r="D41" s="125">
        <v>8</v>
      </c>
      <c r="E41" s="125">
        <v>9</v>
      </c>
      <c r="F41" s="125">
        <v>4</v>
      </c>
      <c r="G41" s="125">
        <v>4</v>
      </c>
      <c r="H41" s="125">
        <v>2</v>
      </c>
      <c r="I41" s="125">
        <v>1</v>
      </c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</row>
    <row r="42" spans="1:31" s="576" customFormat="1" ht="24.95" customHeight="1">
      <c r="A42" s="571" t="s">
        <v>601</v>
      </c>
      <c r="B42" s="580" t="s">
        <v>660</v>
      </c>
      <c r="C42" s="571" t="s">
        <v>90</v>
      </c>
      <c r="D42" s="127">
        <f t="shared" ref="D42:T42" si="6">SUM(D43:D50)</f>
        <v>44</v>
      </c>
      <c r="E42" s="127">
        <f t="shared" si="6"/>
        <v>46</v>
      </c>
      <c r="F42" s="127">
        <f t="shared" si="6"/>
        <v>54</v>
      </c>
      <c r="G42" s="127">
        <f t="shared" si="6"/>
        <v>56</v>
      </c>
      <c r="H42" s="127">
        <f t="shared" si="6"/>
        <v>56</v>
      </c>
      <c r="I42" s="127">
        <f t="shared" si="6"/>
        <v>58</v>
      </c>
      <c r="J42" s="127">
        <f t="shared" si="6"/>
        <v>54</v>
      </c>
      <c r="K42" s="127">
        <f t="shared" si="6"/>
        <v>58</v>
      </c>
      <c r="L42" s="127">
        <f t="shared" si="6"/>
        <v>58</v>
      </c>
      <c r="M42" s="127">
        <f t="shared" si="6"/>
        <v>58</v>
      </c>
      <c r="N42" s="127">
        <f t="shared" si="6"/>
        <v>58</v>
      </c>
      <c r="O42" s="127">
        <f t="shared" si="6"/>
        <v>58</v>
      </c>
      <c r="P42" s="127">
        <f t="shared" si="6"/>
        <v>57</v>
      </c>
      <c r="Q42" s="127">
        <f t="shared" si="6"/>
        <v>58</v>
      </c>
      <c r="R42" s="127">
        <f t="shared" si="6"/>
        <v>58</v>
      </c>
      <c r="S42" s="127">
        <f t="shared" si="6"/>
        <v>58</v>
      </c>
      <c r="T42" s="127">
        <f t="shared" si="6"/>
        <v>58</v>
      </c>
    </row>
    <row r="43" spans="1:31" s="576" customFormat="1" ht="24.95" customHeight="1">
      <c r="A43" s="568"/>
      <c r="B43" s="587" t="s">
        <v>718</v>
      </c>
      <c r="C43" s="571" t="s">
        <v>90</v>
      </c>
      <c r="D43" s="125">
        <v>9</v>
      </c>
      <c r="E43" s="125">
        <v>9</v>
      </c>
      <c r="F43" s="125">
        <v>9</v>
      </c>
      <c r="G43" s="125">
        <v>9</v>
      </c>
      <c r="H43" s="125">
        <v>9</v>
      </c>
      <c r="I43" s="125">
        <v>9</v>
      </c>
      <c r="J43" s="125">
        <v>9</v>
      </c>
      <c r="K43" s="125">
        <v>9</v>
      </c>
      <c r="L43" s="125">
        <v>9</v>
      </c>
      <c r="M43" s="125">
        <v>9</v>
      </c>
      <c r="N43" s="125">
        <v>9</v>
      </c>
      <c r="O43" s="125">
        <v>9</v>
      </c>
      <c r="P43" s="125">
        <v>9</v>
      </c>
      <c r="Q43" s="125">
        <v>9</v>
      </c>
      <c r="R43" s="125">
        <v>9</v>
      </c>
      <c r="S43" s="125">
        <v>9</v>
      </c>
      <c r="T43" s="125">
        <v>9</v>
      </c>
    </row>
    <row r="44" spans="1:31" s="576" customFormat="1" ht="24.95" customHeight="1">
      <c r="A44" s="568"/>
      <c r="B44" s="586" t="s">
        <v>138</v>
      </c>
      <c r="C44" s="571" t="s">
        <v>90</v>
      </c>
      <c r="D44" s="125">
        <v>1</v>
      </c>
      <c r="E44" s="125">
        <v>1</v>
      </c>
      <c r="F44" s="125">
        <v>1</v>
      </c>
      <c r="G44" s="125">
        <v>1</v>
      </c>
      <c r="H44" s="125">
        <v>1</v>
      </c>
      <c r="I44" s="125">
        <v>1</v>
      </c>
      <c r="J44" s="125">
        <v>1</v>
      </c>
      <c r="K44" s="125">
        <v>1</v>
      </c>
      <c r="L44" s="125">
        <v>1</v>
      </c>
      <c r="M44" s="125">
        <v>1</v>
      </c>
      <c r="N44" s="125">
        <v>1</v>
      </c>
      <c r="O44" s="125">
        <v>1</v>
      </c>
      <c r="P44" s="125">
        <v>1</v>
      </c>
      <c r="Q44" s="125">
        <v>1</v>
      </c>
      <c r="R44" s="125">
        <v>1</v>
      </c>
      <c r="S44" s="125">
        <v>1</v>
      </c>
      <c r="T44" s="125">
        <v>1</v>
      </c>
    </row>
    <row r="45" spans="1:31" s="576" customFormat="1" ht="24.95" customHeight="1">
      <c r="A45" s="568"/>
      <c r="B45" s="586" t="s">
        <v>139</v>
      </c>
      <c r="C45" s="571" t="s">
        <v>90</v>
      </c>
      <c r="D45" s="125">
        <v>6</v>
      </c>
      <c r="E45" s="125">
        <v>6</v>
      </c>
      <c r="F45" s="125">
        <v>6</v>
      </c>
      <c r="G45" s="125">
        <v>5</v>
      </c>
      <c r="H45" s="125">
        <v>5</v>
      </c>
      <c r="I45" s="125">
        <v>7</v>
      </c>
      <c r="J45" s="125">
        <v>7</v>
      </c>
      <c r="K45" s="125">
        <v>7</v>
      </c>
      <c r="L45" s="125">
        <v>7</v>
      </c>
      <c r="M45" s="125">
        <v>7</v>
      </c>
      <c r="N45" s="125">
        <v>7</v>
      </c>
      <c r="O45" s="125">
        <v>7</v>
      </c>
      <c r="P45" s="125">
        <v>7</v>
      </c>
      <c r="Q45" s="125">
        <v>7</v>
      </c>
      <c r="R45" s="125">
        <v>7</v>
      </c>
      <c r="S45" s="125">
        <v>7</v>
      </c>
      <c r="T45" s="125">
        <v>7</v>
      </c>
    </row>
    <row r="46" spans="1:31" s="576" customFormat="1" ht="24.95" customHeight="1">
      <c r="A46" s="568"/>
      <c r="B46" s="586" t="s">
        <v>140</v>
      </c>
      <c r="C46" s="571" t="s">
        <v>90</v>
      </c>
      <c r="D46" s="125">
        <v>2</v>
      </c>
      <c r="E46" s="125">
        <v>2</v>
      </c>
      <c r="F46" s="125">
        <v>2</v>
      </c>
      <c r="G46" s="125">
        <v>2</v>
      </c>
      <c r="H46" s="125">
        <v>2</v>
      </c>
      <c r="I46" s="125">
        <v>2</v>
      </c>
      <c r="J46" s="125">
        <v>0</v>
      </c>
      <c r="K46" s="125">
        <v>0</v>
      </c>
      <c r="L46" s="125">
        <v>0</v>
      </c>
      <c r="M46" s="125">
        <v>0</v>
      </c>
      <c r="N46" s="125">
        <v>0</v>
      </c>
      <c r="O46" s="125">
        <v>0</v>
      </c>
      <c r="P46" s="125">
        <v>0</v>
      </c>
      <c r="Q46" s="125">
        <v>0</v>
      </c>
      <c r="R46" s="125">
        <v>0</v>
      </c>
      <c r="S46" s="125">
        <v>0</v>
      </c>
      <c r="T46" s="125">
        <v>0</v>
      </c>
    </row>
    <row r="47" spans="1:31" s="576" customFormat="1" ht="24.95" customHeight="1">
      <c r="A47" s="568"/>
      <c r="B47" s="587" t="s">
        <v>142</v>
      </c>
      <c r="C47" s="571" t="s">
        <v>90</v>
      </c>
      <c r="D47" s="125">
        <v>9</v>
      </c>
      <c r="E47" s="125">
        <v>11</v>
      </c>
      <c r="F47" s="125">
        <v>15</v>
      </c>
      <c r="G47" s="125">
        <v>16</v>
      </c>
      <c r="H47" s="125">
        <v>16</v>
      </c>
      <c r="I47" s="125">
        <v>16</v>
      </c>
      <c r="J47" s="125">
        <v>13</v>
      </c>
      <c r="K47" s="125">
        <v>16</v>
      </c>
      <c r="L47" s="125">
        <v>16</v>
      </c>
      <c r="M47" s="125">
        <v>16</v>
      </c>
      <c r="N47" s="125">
        <v>16</v>
      </c>
      <c r="O47" s="125">
        <v>16</v>
      </c>
      <c r="P47" s="125">
        <v>15</v>
      </c>
      <c r="Q47" s="125">
        <v>16</v>
      </c>
      <c r="R47" s="125">
        <v>16</v>
      </c>
      <c r="S47" s="125">
        <v>16</v>
      </c>
      <c r="T47" s="125">
        <v>16</v>
      </c>
    </row>
    <row r="48" spans="1:31" s="576" customFormat="1" ht="24.95" customHeight="1">
      <c r="A48" s="568"/>
      <c r="B48" s="587" t="s">
        <v>714</v>
      </c>
      <c r="C48" s="571" t="s">
        <v>90</v>
      </c>
      <c r="D48" s="125"/>
      <c r="E48" s="125"/>
      <c r="F48" s="125"/>
      <c r="G48" s="125"/>
      <c r="H48" s="125"/>
      <c r="I48" s="125"/>
      <c r="J48" s="125">
        <v>1</v>
      </c>
      <c r="K48" s="125">
        <v>1</v>
      </c>
      <c r="L48" s="125">
        <v>1</v>
      </c>
      <c r="M48" s="125">
        <v>1</v>
      </c>
      <c r="N48" s="125">
        <v>1</v>
      </c>
      <c r="O48" s="125">
        <v>1</v>
      </c>
      <c r="P48" s="125">
        <v>1</v>
      </c>
      <c r="Q48" s="125">
        <v>1</v>
      </c>
      <c r="R48" s="125">
        <v>1</v>
      </c>
      <c r="S48" s="125">
        <v>1</v>
      </c>
      <c r="T48" s="125">
        <v>1</v>
      </c>
    </row>
    <row r="49" spans="1:21" s="576" customFormat="1" ht="24.95" customHeight="1">
      <c r="A49" s="568"/>
      <c r="B49" s="587" t="s">
        <v>715</v>
      </c>
      <c r="C49" s="571" t="s">
        <v>90</v>
      </c>
      <c r="D49" s="125"/>
      <c r="E49" s="125"/>
      <c r="F49" s="125"/>
      <c r="G49" s="125"/>
      <c r="H49" s="125"/>
      <c r="I49" s="125"/>
      <c r="J49" s="125">
        <v>0</v>
      </c>
      <c r="K49" s="125">
        <v>0</v>
      </c>
      <c r="L49" s="125">
        <v>0</v>
      </c>
      <c r="M49" s="125">
        <v>0</v>
      </c>
      <c r="N49" s="125">
        <v>0</v>
      </c>
      <c r="O49" s="125">
        <v>0</v>
      </c>
      <c r="P49" s="125">
        <v>0</v>
      </c>
      <c r="Q49" s="125">
        <v>0</v>
      </c>
      <c r="R49" s="125">
        <v>0</v>
      </c>
      <c r="S49" s="125">
        <v>0</v>
      </c>
      <c r="T49" s="125">
        <v>0</v>
      </c>
    </row>
    <row r="50" spans="1:21" s="576" customFormat="1" ht="24.95" customHeight="1">
      <c r="A50" s="568"/>
      <c r="B50" s="587" t="s">
        <v>143</v>
      </c>
      <c r="C50" s="571" t="s">
        <v>90</v>
      </c>
      <c r="D50" s="125">
        <v>17</v>
      </c>
      <c r="E50" s="125">
        <v>17</v>
      </c>
      <c r="F50" s="125">
        <v>21</v>
      </c>
      <c r="G50" s="125">
        <v>23</v>
      </c>
      <c r="H50" s="125">
        <v>23</v>
      </c>
      <c r="I50" s="125">
        <v>23</v>
      </c>
      <c r="J50" s="125">
        <v>23</v>
      </c>
      <c r="K50" s="125">
        <v>24</v>
      </c>
      <c r="L50" s="125">
        <v>24</v>
      </c>
      <c r="M50" s="125">
        <v>24</v>
      </c>
      <c r="N50" s="125">
        <v>24</v>
      </c>
      <c r="O50" s="125">
        <v>24</v>
      </c>
      <c r="P50" s="125">
        <v>24</v>
      </c>
      <c r="Q50" s="125">
        <v>24</v>
      </c>
      <c r="R50" s="125">
        <v>24</v>
      </c>
      <c r="S50" s="125">
        <v>24</v>
      </c>
      <c r="T50" s="125">
        <v>24</v>
      </c>
    </row>
    <row r="51" spans="1:21" s="576" customFormat="1" ht="24.95" customHeight="1">
      <c r="A51" s="568">
        <v>5</v>
      </c>
      <c r="B51" s="569" t="s">
        <v>144</v>
      </c>
      <c r="C51" s="568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</row>
    <row r="52" spans="1:21" s="570" customFormat="1" ht="24.95" customHeight="1">
      <c r="A52" s="571" t="s">
        <v>607</v>
      </c>
      <c r="B52" s="572" t="s">
        <v>106</v>
      </c>
      <c r="C52" s="571" t="s">
        <v>107</v>
      </c>
      <c r="D52" s="125">
        <v>61</v>
      </c>
      <c r="E52" s="125">
        <v>69</v>
      </c>
      <c r="F52" s="125">
        <v>77</v>
      </c>
      <c r="G52" s="125">
        <v>86</v>
      </c>
      <c r="H52" s="125">
        <v>86</v>
      </c>
      <c r="I52" s="125">
        <v>86</v>
      </c>
      <c r="J52" s="125">
        <v>86</v>
      </c>
      <c r="K52" s="125">
        <v>86</v>
      </c>
      <c r="L52" s="125">
        <v>86</v>
      </c>
      <c r="M52" s="125">
        <v>86</v>
      </c>
      <c r="N52" s="125">
        <v>110</v>
      </c>
      <c r="O52" s="125">
        <v>110</v>
      </c>
      <c r="P52" s="125">
        <v>115</v>
      </c>
      <c r="Q52" s="125">
        <v>120</v>
      </c>
      <c r="R52" s="125">
        <v>125</v>
      </c>
      <c r="S52" s="125">
        <v>130</v>
      </c>
      <c r="T52" s="125">
        <v>150</v>
      </c>
      <c r="U52" s="576"/>
    </row>
    <row r="53" spans="1:21" s="576" customFormat="1" ht="24.95" customHeight="1">
      <c r="A53" s="571"/>
      <c r="B53" s="580" t="s">
        <v>122</v>
      </c>
      <c r="C53" s="571" t="s">
        <v>90</v>
      </c>
      <c r="D53" s="125">
        <v>55</v>
      </c>
      <c r="E53" s="125">
        <v>66</v>
      </c>
      <c r="F53" s="125">
        <v>74</v>
      </c>
      <c r="G53" s="125">
        <v>83</v>
      </c>
      <c r="H53" s="125">
        <v>83</v>
      </c>
      <c r="I53" s="125">
        <v>83</v>
      </c>
      <c r="J53" s="125">
        <v>83</v>
      </c>
      <c r="K53" s="125">
        <f>K52-3</f>
        <v>83</v>
      </c>
      <c r="L53" s="125">
        <f t="shared" ref="L53:S53" si="7">L52-3</f>
        <v>83</v>
      </c>
      <c r="M53" s="125">
        <f t="shared" si="7"/>
        <v>83</v>
      </c>
      <c r="N53" s="125">
        <f t="shared" si="7"/>
        <v>107</v>
      </c>
      <c r="O53" s="125">
        <f t="shared" si="7"/>
        <v>107</v>
      </c>
      <c r="P53" s="125">
        <f t="shared" si="7"/>
        <v>112</v>
      </c>
      <c r="Q53" s="125">
        <f t="shared" si="7"/>
        <v>117</v>
      </c>
      <c r="R53" s="125">
        <f t="shared" si="7"/>
        <v>122</v>
      </c>
      <c r="S53" s="125">
        <f t="shared" si="7"/>
        <v>127</v>
      </c>
      <c r="T53" s="125">
        <f>T52</f>
        <v>150</v>
      </c>
      <c r="U53" s="570"/>
    </row>
    <row r="54" spans="1:21" s="576" customFormat="1" ht="24.95" customHeight="1">
      <c r="A54" s="571"/>
      <c r="B54" s="580" t="s">
        <v>304</v>
      </c>
      <c r="C54" s="571" t="s">
        <v>108</v>
      </c>
      <c r="D54" s="128">
        <f>(D13+D15+D17+D18+D19+D20+D21)/D52</f>
        <v>2.901639344262295</v>
      </c>
      <c r="E54" s="128">
        <f t="shared" ref="E54:T54" si="8">(E13+E15+E16+E17+E18+E19+E20+E21)/E52</f>
        <v>2.3913043478260869</v>
      </c>
      <c r="F54" s="128">
        <f t="shared" si="8"/>
        <v>2.6753246753246751</v>
      </c>
      <c r="G54" s="128">
        <f t="shared" si="8"/>
        <v>2.7209302325581395</v>
      </c>
      <c r="H54" s="128">
        <f t="shared" si="8"/>
        <v>2.9534883720930232</v>
      </c>
      <c r="I54" s="128">
        <f t="shared" si="8"/>
        <v>3.7093023255813953</v>
      </c>
      <c r="J54" s="128">
        <f>(J13+J15+J16+J17+J18+J19+J20+J21)/J52</f>
        <v>2.8023255813953489</v>
      </c>
      <c r="K54" s="128">
        <f t="shared" si="8"/>
        <v>2.941860465116279</v>
      </c>
      <c r="L54" s="128">
        <f>(L13+L15+L16+L17+L18+L19+L20+L21)/L52</f>
        <v>2.3837209302325579</v>
      </c>
      <c r="M54" s="128">
        <f t="shared" si="8"/>
        <v>2.9767441860465116</v>
      </c>
      <c r="N54" s="128">
        <f>(N13+N15+N16+N17+N18+N19+N20+N21)/N52</f>
        <v>2.3727272727272726</v>
      </c>
      <c r="O54" s="128">
        <f t="shared" si="8"/>
        <v>2.0636363636363635</v>
      </c>
      <c r="P54" s="128">
        <f t="shared" si="8"/>
        <v>1.991304347826087</v>
      </c>
      <c r="Q54" s="128">
        <f t="shared" si="8"/>
        <v>1.9</v>
      </c>
      <c r="R54" s="128">
        <f t="shared" si="8"/>
        <v>1.84</v>
      </c>
      <c r="S54" s="128">
        <f t="shared" si="8"/>
        <v>1.7923076923076924</v>
      </c>
      <c r="T54" s="128">
        <f t="shared" si="8"/>
        <v>1.18</v>
      </c>
    </row>
    <row r="55" spans="1:21" s="576" customFormat="1" ht="45.75" customHeight="1">
      <c r="A55" s="571" t="s">
        <v>609</v>
      </c>
      <c r="B55" s="588" t="s">
        <v>305</v>
      </c>
      <c r="C55" s="589" t="s">
        <v>107</v>
      </c>
      <c r="D55" s="125">
        <f>D56</f>
        <v>17</v>
      </c>
      <c r="E55" s="125">
        <f t="shared" ref="E55:T55" si="9">E56</f>
        <v>19</v>
      </c>
      <c r="F55" s="125">
        <f t="shared" si="9"/>
        <v>21</v>
      </c>
      <c r="G55" s="125">
        <f t="shared" si="9"/>
        <v>21</v>
      </c>
      <c r="H55" s="125">
        <f t="shared" si="9"/>
        <v>21</v>
      </c>
      <c r="I55" s="125">
        <f t="shared" si="9"/>
        <v>21</v>
      </c>
      <c r="J55" s="125">
        <f t="shared" si="9"/>
        <v>22</v>
      </c>
      <c r="K55" s="125">
        <f t="shared" si="9"/>
        <v>23</v>
      </c>
      <c r="L55" s="125">
        <f t="shared" si="9"/>
        <v>23</v>
      </c>
      <c r="M55" s="125">
        <f t="shared" si="9"/>
        <v>23</v>
      </c>
      <c r="N55" s="125">
        <f t="shared" si="9"/>
        <v>24</v>
      </c>
      <c r="O55" s="125">
        <f t="shared" si="9"/>
        <v>24</v>
      </c>
      <c r="P55" s="125">
        <f t="shared" si="9"/>
        <v>26</v>
      </c>
      <c r="Q55" s="125">
        <f t="shared" si="9"/>
        <v>26</v>
      </c>
      <c r="R55" s="125">
        <f t="shared" si="9"/>
        <v>28</v>
      </c>
      <c r="S55" s="125">
        <f t="shared" si="9"/>
        <v>30</v>
      </c>
      <c r="T55" s="125">
        <f t="shared" si="9"/>
        <v>40</v>
      </c>
    </row>
    <row r="56" spans="1:21" s="576" customFormat="1" ht="24.95" customHeight="1">
      <c r="A56" s="571"/>
      <c r="B56" s="580" t="s">
        <v>122</v>
      </c>
      <c r="C56" s="571" t="s">
        <v>90</v>
      </c>
      <c r="D56" s="125">
        <v>17</v>
      </c>
      <c r="E56" s="125">
        <v>19</v>
      </c>
      <c r="F56" s="125">
        <v>21</v>
      </c>
      <c r="G56" s="125">
        <v>21</v>
      </c>
      <c r="H56" s="125">
        <v>21</v>
      </c>
      <c r="I56" s="125">
        <v>21</v>
      </c>
      <c r="J56" s="125">
        <v>22</v>
      </c>
      <c r="K56" s="125">
        <v>23</v>
      </c>
      <c r="L56" s="125">
        <v>23</v>
      </c>
      <c r="M56" s="125">
        <v>23</v>
      </c>
      <c r="N56" s="125">
        <v>24</v>
      </c>
      <c r="O56" s="125">
        <v>24</v>
      </c>
      <c r="P56" s="125">
        <v>26</v>
      </c>
      <c r="Q56" s="125">
        <v>26</v>
      </c>
      <c r="R56" s="125">
        <v>28</v>
      </c>
      <c r="S56" s="125">
        <v>30</v>
      </c>
      <c r="T56" s="125">
        <v>40</v>
      </c>
    </row>
    <row r="57" spans="1:21" s="576" customFormat="1" ht="24.95" customHeight="1">
      <c r="A57" s="571" t="s">
        <v>610</v>
      </c>
      <c r="B57" s="580" t="s">
        <v>306</v>
      </c>
      <c r="C57" s="571" t="s">
        <v>307</v>
      </c>
      <c r="D57" s="127">
        <v>1</v>
      </c>
      <c r="E57" s="127">
        <v>1</v>
      </c>
      <c r="F57" s="127">
        <v>1</v>
      </c>
      <c r="G57" s="127">
        <v>1</v>
      </c>
      <c r="H57" s="127">
        <v>1</v>
      </c>
      <c r="I57" s="127">
        <v>1</v>
      </c>
      <c r="J57" s="127">
        <v>2</v>
      </c>
      <c r="K57" s="127">
        <v>2</v>
      </c>
      <c r="L57" s="127">
        <v>2</v>
      </c>
      <c r="M57" s="127">
        <v>2</v>
      </c>
      <c r="N57" s="127">
        <v>3</v>
      </c>
      <c r="O57" s="127">
        <v>5</v>
      </c>
      <c r="P57" s="127">
        <v>5</v>
      </c>
      <c r="Q57" s="127">
        <v>5</v>
      </c>
      <c r="R57" s="127">
        <v>5</v>
      </c>
      <c r="S57" s="127">
        <v>5</v>
      </c>
      <c r="T57" s="127">
        <v>8</v>
      </c>
    </row>
    <row r="58" spans="1:21" s="576" customFormat="1" ht="24.95" customHeight="1">
      <c r="A58" s="571" t="s">
        <v>976</v>
      </c>
      <c r="B58" s="580" t="s">
        <v>112</v>
      </c>
      <c r="C58" s="571" t="s">
        <v>107</v>
      </c>
      <c r="D58" s="125">
        <v>15</v>
      </c>
      <c r="E58" s="125">
        <v>16</v>
      </c>
      <c r="F58" s="125">
        <v>23</v>
      </c>
      <c r="G58" s="125">
        <v>23</v>
      </c>
      <c r="H58" s="125">
        <v>23</v>
      </c>
      <c r="I58" s="125">
        <v>23</v>
      </c>
      <c r="J58" s="125">
        <v>23</v>
      </c>
      <c r="K58" s="125">
        <v>26</v>
      </c>
      <c r="L58" s="125">
        <v>27</v>
      </c>
      <c r="M58" s="125">
        <v>27</v>
      </c>
      <c r="N58" s="125">
        <v>27</v>
      </c>
      <c r="O58" s="125">
        <v>27</v>
      </c>
      <c r="P58" s="125">
        <v>27</v>
      </c>
      <c r="Q58" s="125">
        <v>27</v>
      </c>
      <c r="R58" s="125">
        <v>27</v>
      </c>
      <c r="S58" s="125">
        <v>27</v>
      </c>
      <c r="T58" s="125">
        <v>27</v>
      </c>
    </row>
    <row r="59" spans="1:21" s="576" customFormat="1" ht="24.95" customHeight="1">
      <c r="A59" s="571"/>
      <c r="B59" s="580" t="s">
        <v>122</v>
      </c>
      <c r="C59" s="571" t="s">
        <v>90</v>
      </c>
      <c r="D59" s="125">
        <v>15</v>
      </c>
      <c r="E59" s="125">
        <v>15</v>
      </c>
      <c r="F59" s="125">
        <v>29</v>
      </c>
      <c r="G59" s="125">
        <v>23</v>
      </c>
      <c r="H59" s="125">
        <v>23</v>
      </c>
      <c r="I59" s="125">
        <v>23</v>
      </c>
      <c r="J59" s="125">
        <v>23</v>
      </c>
      <c r="K59" s="125">
        <v>26</v>
      </c>
      <c r="L59" s="125">
        <v>27</v>
      </c>
      <c r="M59" s="125">
        <v>27</v>
      </c>
      <c r="N59" s="125">
        <v>27</v>
      </c>
      <c r="O59" s="125">
        <v>27</v>
      </c>
      <c r="P59" s="125">
        <v>27</v>
      </c>
      <c r="Q59" s="125">
        <v>27</v>
      </c>
      <c r="R59" s="125">
        <v>27</v>
      </c>
      <c r="S59" s="125">
        <v>27</v>
      </c>
      <c r="T59" s="125">
        <v>27</v>
      </c>
    </row>
    <row r="60" spans="1:21" s="576" customFormat="1" ht="24.95" customHeight="1">
      <c r="A60" s="571" t="s">
        <v>977</v>
      </c>
      <c r="B60" s="572" t="s">
        <v>229</v>
      </c>
      <c r="C60" s="571" t="s">
        <v>107</v>
      </c>
      <c r="D60" s="125">
        <v>56</v>
      </c>
      <c r="E60" s="125">
        <v>56</v>
      </c>
      <c r="F60" s="125">
        <v>78</v>
      </c>
      <c r="G60" s="125">
        <v>78</v>
      </c>
      <c r="H60" s="125">
        <v>78</v>
      </c>
      <c r="I60" s="125">
        <v>78</v>
      </c>
      <c r="J60" s="125">
        <v>78</v>
      </c>
      <c r="K60" s="125">
        <v>99</v>
      </c>
      <c r="L60" s="125">
        <v>99</v>
      </c>
      <c r="M60" s="125">
        <v>99</v>
      </c>
      <c r="N60" s="125">
        <v>99</v>
      </c>
      <c r="O60" s="125">
        <v>101</v>
      </c>
      <c r="P60" s="125">
        <v>101</v>
      </c>
      <c r="Q60" s="125">
        <v>103</v>
      </c>
      <c r="R60" s="125">
        <v>103</v>
      </c>
      <c r="S60" s="125">
        <v>103</v>
      </c>
      <c r="T60" s="125">
        <v>103</v>
      </c>
    </row>
    <row r="61" spans="1:21" s="576" customFormat="1" ht="24.95" customHeight="1">
      <c r="A61" s="571"/>
      <c r="B61" s="580" t="s">
        <v>122</v>
      </c>
      <c r="C61" s="571" t="s">
        <v>90</v>
      </c>
      <c r="D61" s="125">
        <v>56</v>
      </c>
      <c r="E61" s="125">
        <v>56</v>
      </c>
      <c r="F61" s="125">
        <v>78</v>
      </c>
      <c r="G61" s="125">
        <v>78</v>
      </c>
      <c r="H61" s="125">
        <v>78</v>
      </c>
      <c r="I61" s="125">
        <v>78</v>
      </c>
      <c r="J61" s="125">
        <v>78</v>
      </c>
      <c r="K61" s="125">
        <v>99</v>
      </c>
      <c r="L61" s="125">
        <v>99</v>
      </c>
      <c r="M61" s="125">
        <v>99</v>
      </c>
      <c r="N61" s="125">
        <v>99</v>
      </c>
      <c r="O61" s="125">
        <v>101</v>
      </c>
      <c r="P61" s="125">
        <v>101</v>
      </c>
      <c r="Q61" s="125">
        <v>103</v>
      </c>
      <c r="R61" s="125">
        <v>103</v>
      </c>
      <c r="S61" s="125">
        <v>103</v>
      </c>
      <c r="T61" s="125">
        <v>103</v>
      </c>
    </row>
    <row r="62" spans="1:21" s="576" customFormat="1" ht="24.95" customHeight="1">
      <c r="A62" s="571" t="s">
        <v>978</v>
      </c>
      <c r="B62" s="580" t="s">
        <v>145</v>
      </c>
      <c r="C62" s="571" t="s">
        <v>111</v>
      </c>
      <c r="D62" s="125">
        <v>4</v>
      </c>
      <c r="E62" s="125">
        <v>4</v>
      </c>
      <c r="F62" s="125">
        <v>5</v>
      </c>
      <c r="G62" s="125">
        <v>5</v>
      </c>
      <c r="H62" s="125">
        <v>5</v>
      </c>
      <c r="I62" s="125">
        <v>5</v>
      </c>
      <c r="J62" s="125">
        <v>5</v>
      </c>
      <c r="K62" s="125">
        <v>6</v>
      </c>
      <c r="L62" s="125">
        <v>6</v>
      </c>
      <c r="M62" s="125">
        <v>6</v>
      </c>
      <c r="N62" s="125">
        <v>6</v>
      </c>
      <c r="O62" s="125">
        <v>6</v>
      </c>
      <c r="P62" s="125">
        <v>6</v>
      </c>
      <c r="Q62" s="125">
        <v>6</v>
      </c>
      <c r="R62" s="125">
        <v>6</v>
      </c>
      <c r="S62" s="125">
        <v>6</v>
      </c>
      <c r="T62" s="125">
        <v>6</v>
      </c>
    </row>
    <row r="63" spans="1:21" s="576" customFormat="1" ht="24.95" customHeight="1">
      <c r="A63" s="571"/>
      <c r="B63" s="580" t="s">
        <v>117</v>
      </c>
      <c r="C63" s="571" t="s">
        <v>90</v>
      </c>
      <c r="D63" s="125">
        <v>1</v>
      </c>
      <c r="E63" s="125">
        <v>1</v>
      </c>
      <c r="F63" s="125">
        <v>2</v>
      </c>
      <c r="G63" s="125">
        <v>2</v>
      </c>
      <c r="H63" s="125">
        <v>2</v>
      </c>
      <c r="I63" s="125">
        <v>3</v>
      </c>
      <c r="J63" s="125">
        <v>3</v>
      </c>
      <c r="K63" s="125">
        <v>4</v>
      </c>
      <c r="L63" s="125">
        <v>4</v>
      </c>
      <c r="M63" s="125">
        <v>4</v>
      </c>
      <c r="N63" s="125">
        <v>4</v>
      </c>
      <c r="O63" s="125">
        <v>4</v>
      </c>
      <c r="P63" s="125">
        <v>4</v>
      </c>
      <c r="Q63" s="125">
        <v>4</v>
      </c>
      <c r="R63" s="125">
        <v>4</v>
      </c>
      <c r="S63" s="125">
        <v>4</v>
      </c>
      <c r="T63" s="125">
        <v>4</v>
      </c>
    </row>
    <row r="64" spans="1:21" s="576" customFormat="1" ht="24.95" customHeight="1">
      <c r="A64" s="571" t="s">
        <v>979</v>
      </c>
      <c r="B64" s="572" t="s">
        <v>265</v>
      </c>
      <c r="C64" s="571" t="s">
        <v>113</v>
      </c>
      <c r="D64" s="125">
        <v>15</v>
      </c>
      <c r="E64" s="125">
        <v>17</v>
      </c>
      <c r="F64" s="125">
        <v>23</v>
      </c>
      <c r="G64" s="125">
        <v>23</v>
      </c>
      <c r="H64" s="125">
        <v>23</v>
      </c>
      <c r="I64" s="125">
        <v>23</v>
      </c>
      <c r="J64" s="125">
        <v>24</v>
      </c>
      <c r="K64" s="125">
        <v>24</v>
      </c>
      <c r="L64" s="125">
        <v>24</v>
      </c>
      <c r="M64" s="125">
        <v>24</v>
      </c>
      <c r="N64" s="125">
        <v>24</v>
      </c>
      <c r="O64" s="125">
        <v>24</v>
      </c>
      <c r="P64" s="125">
        <v>24</v>
      </c>
      <c r="Q64" s="125">
        <v>24</v>
      </c>
      <c r="R64" s="125">
        <v>24</v>
      </c>
      <c r="S64" s="125">
        <v>24</v>
      </c>
      <c r="T64" s="125">
        <v>25</v>
      </c>
    </row>
    <row r="65" spans="1:21" s="576" customFormat="1" ht="24.95" customHeight="1">
      <c r="A65" s="571"/>
      <c r="B65" s="572" t="s">
        <v>980</v>
      </c>
      <c r="C65" s="571" t="s">
        <v>146</v>
      </c>
      <c r="D65" s="125">
        <v>48</v>
      </c>
      <c r="E65" s="125">
        <v>56</v>
      </c>
      <c r="F65" s="125">
        <v>116</v>
      </c>
      <c r="G65" s="125">
        <v>116</v>
      </c>
      <c r="H65" s="125">
        <v>116</v>
      </c>
      <c r="I65" s="125">
        <v>116</v>
      </c>
      <c r="J65" s="125">
        <v>120</v>
      </c>
      <c r="K65" s="125">
        <v>120</v>
      </c>
      <c r="L65" s="125">
        <v>120</v>
      </c>
      <c r="M65" s="125">
        <v>120</v>
      </c>
      <c r="N65" s="125">
        <v>120</v>
      </c>
      <c r="O65" s="125">
        <v>120</v>
      </c>
      <c r="P65" s="125">
        <v>120</v>
      </c>
      <c r="Q65" s="125">
        <v>120</v>
      </c>
      <c r="R65" s="125">
        <v>120</v>
      </c>
      <c r="S65" s="125">
        <v>120</v>
      </c>
      <c r="T65" s="125">
        <v>124</v>
      </c>
    </row>
    <row r="66" spans="1:21" s="576" customFormat="1" ht="24.95" customHeight="1">
      <c r="A66" s="571"/>
      <c r="B66" s="590" t="s">
        <v>981</v>
      </c>
      <c r="C66" s="571" t="s">
        <v>90</v>
      </c>
      <c r="D66" s="125">
        <v>20</v>
      </c>
      <c r="E66" s="125">
        <v>22</v>
      </c>
      <c r="F66" s="125">
        <v>31</v>
      </c>
      <c r="G66" s="125">
        <v>31</v>
      </c>
      <c r="H66" s="125">
        <v>31</v>
      </c>
      <c r="I66" s="125">
        <v>31</v>
      </c>
      <c r="J66" s="125">
        <v>32</v>
      </c>
      <c r="K66" s="125">
        <v>32</v>
      </c>
      <c r="L66" s="125">
        <v>32</v>
      </c>
      <c r="M66" s="125">
        <v>32</v>
      </c>
      <c r="N66" s="125">
        <v>32</v>
      </c>
      <c r="O66" s="125">
        <v>32</v>
      </c>
      <c r="P66" s="125">
        <v>32</v>
      </c>
      <c r="Q66" s="125">
        <v>32</v>
      </c>
      <c r="R66" s="125">
        <v>32</v>
      </c>
      <c r="S66" s="125">
        <v>32</v>
      </c>
      <c r="T66" s="125">
        <v>33</v>
      </c>
    </row>
    <row r="67" spans="1:21" s="576" customFormat="1" ht="24.95" customHeight="1">
      <c r="A67" s="571" t="s">
        <v>982</v>
      </c>
      <c r="B67" s="572" t="s">
        <v>983</v>
      </c>
      <c r="C67" s="571" t="s">
        <v>114</v>
      </c>
      <c r="D67" s="125">
        <v>8</v>
      </c>
      <c r="E67" s="125">
        <v>8</v>
      </c>
      <c r="F67" s="125">
        <v>8</v>
      </c>
      <c r="G67" s="125">
        <v>8</v>
      </c>
      <c r="H67" s="125">
        <v>8</v>
      </c>
      <c r="I67" s="125">
        <v>8</v>
      </c>
      <c r="J67" s="125">
        <v>8</v>
      </c>
      <c r="K67" s="125">
        <v>8</v>
      </c>
      <c r="L67" s="125">
        <v>8</v>
      </c>
      <c r="M67" s="125">
        <v>8</v>
      </c>
      <c r="N67" s="125">
        <v>8</v>
      </c>
      <c r="O67" s="125">
        <v>8</v>
      </c>
      <c r="P67" s="125">
        <v>8</v>
      </c>
      <c r="Q67" s="125">
        <v>8</v>
      </c>
      <c r="R67" s="125">
        <v>8</v>
      </c>
      <c r="S67" s="125">
        <v>8</v>
      </c>
      <c r="T67" s="125">
        <v>8</v>
      </c>
    </row>
    <row r="68" spans="1:21" s="576" customFormat="1" ht="24.95" customHeight="1">
      <c r="A68" s="571"/>
      <c r="B68" s="580" t="s">
        <v>308</v>
      </c>
      <c r="C68" s="571" t="s">
        <v>90</v>
      </c>
      <c r="D68" s="125">
        <v>8</v>
      </c>
      <c r="E68" s="125">
        <v>8</v>
      </c>
      <c r="F68" s="125">
        <v>8</v>
      </c>
      <c r="G68" s="125">
        <v>8</v>
      </c>
      <c r="H68" s="125">
        <v>8</v>
      </c>
      <c r="I68" s="125">
        <v>8</v>
      </c>
      <c r="J68" s="125">
        <v>8</v>
      </c>
      <c r="K68" s="125">
        <v>8</v>
      </c>
      <c r="L68" s="125">
        <v>8</v>
      </c>
      <c r="M68" s="125">
        <v>8</v>
      </c>
      <c r="N68" s="125">
        <v>8</v>
      </c>
      <c r="O68" s="125">
        <v>8</v>
      </c>
      <c r="P68" s="125">
        <v>8</v>
      </c>
      <c r="Q68" s="125">
        <v>8</v>
      </c>
      <c r="R68" s="125">
        <v>8</v>
      </c>
      <c r="S68" s="125">
        <v>8</v>
      </c>
      <c r="T68" s="125">
        <v>8</v>
      </c>
    </row>
    <row r="69" spans="1:21" s="576" customFormat="1" ht="24.95" customHeight="1">
      <c r="A69" s="568">
        <v>6</v>
      </c>
      <c r="B69" s="569" t="s">
        <v>716</v>
      </c>
      <c r="C69" s="146"/>
      <c r="D69" s="125">
        <v>112</v>
      </c>
      <c r="E69" s="125">
        <v>112</v>
      </c>
      <c r="F69" s="125">
        <v>112</v>
      </c>
      <c r="G69" s="125">
        <v>112</v>
      </c>
      <c r="H69" s="125">
        <v>130</v>
      </c>
      <c r="I69" s="125">
        <v>130</v>
      </c>
      <c r="J69" s="125">
        <v>130</v>
      </c>
      <c r="K69" s="125">
        <v>130</v>
      </c>
      <c r="L69" s="125">
        <v>130</v>
      </c>
      <c r="M69" s="125">
        <v>130</v>
      </c>
      <c r="N69" s="125">
        <v>130</v>
      </c>
      <c r="O69" s="125">
        <v>130</v>
      </c>
      <c r="P69" s="125">
        <v>130</v>
      </c>
      <c r="Q69" s="125">
        <v>130</v>
      </c>
      <c r="R69" s="125">
        <v>130</v>
      </c>
      <c r="S69" s="125">
        <v>130</v>
      </c>
      <c r="T69" s="125">
        <v>130</v>
      </c>
    </row>
    <row r="70" spans="1:21" s="576" customFormat="1" ht="24.95" customHeight="1">
      <c r="A70" s="571" t="s">
        <v>612</v>
      </c>
      <c r="B70" s="572" t="s">
        <v>984</v>
      </c>
      <c r="C70" s="146" t="s">
        <v>717</v>
      </c>
      <c r="D70" s="125"/>
      <c r="E70" s="125"/>
      <c r="F70" s="125"/>
      <c r="G70" s="125"/>
      <c r="H70" s="125"/>
      <c r="I70" s="136"/>
      <c r="J70" s="136"/>
      <c r="K70" s="125">
        <v>2</v>
      </c>
      <c r="L70" s="125">
        <v>2</v>
      </c>
      <c r="M70" s="125">
        <v>2</v>
      </c>
      <c r="N70" s="125">
        <v>2</v>
      </c>
      <c r="O70" s="125">
        <v>5</v>
      </c>
      <c r="P70" s="125">
        <v>5</v>
      </c>
      <c r="Q70" s="125">
        <v>5</v>
      </c>
      <c r="R70" s="125">
        <v>5</v>
      </c>
      <c r="S70" s="125">
        <v>5</v>
      </c>
      <c r="T70" s="125">
        <v>20</v>
      </c>
    </row>
    <row r="71" spans="1:21" s="576" customFormat="1" ht="24.95" customHeight="1">
      <c r="A71" s="571"/>
      <c r="B71" s="572" t="s">
        <v>985</v>
      </c>
      <c r="C71" s="125" t="s">
        <v>116</v>
      </c>
      <c r="D71" s="125"/>
      <c r="E71" s="125"/>
      <c r="F71" s="125"/>
      <c r="G71" s="125"/>
      <c r="H71" s="125"/>
      <c r="I71" s="136"/>
      <c r="J71" s="136"/>
      <c r="K71" s="125">
        <f>K70*1000</f>
        <v>2000</v>
      </c>
      <c r="L71" s="125">
        <f t="shared" ref="L71:T71" si="10">L70*1000</f>
        <v>2000</v>
      </c>
      <c r="M71" s="125">
        <f t="shared" si="10"/>
        <v>2000</v>
      </c>
      <c r="N71" s="125">
        <f t="shared" si="10"/>
        <v>2000</v>
      </c>
      <c r="O71" s="125">
        <f t="shared" si="10"/>
        <v>5000</v>
      </c>
      <c r="P71" s="125">
        <f t="shared" si="10"/>
        <v>5000</v>
      </c>
      <c r="Q71" s="125">
        <f t="shared" si="10"/>
        <v>5000</v>
      </c>
      <c r="R71" s="125">
        <f t="shared" si="10"/>
        <v>5000</v>
      </c>
      <c r="S71" s="125">
        <f t="shared" si="10"/>
        <v>5000</v>
      </c>
      <c r="T71" s="125">
        <f t="shared" si="10"/>
        <v>20000</v>
      </c>
    </row>
    <row r="72" spans="1:21" s="576" customFormat="1" ht="24.95" customHeight="1">
      <c r="A72" s="571" t="s">
        <v>613</v>
      </c>
      <c r="B72" s="591" t="s">
        <v>986</v>
      </c>
      <c r="C72" s="146" t="s">
        <v>717</v>
      </c>
      <c r="D72" s="125"/>
      <c r="E72" s="125"/>
      <c r="F72" s="125"/>
      <c r="G72" s="125"/>
      <c r="H72" s="125"/>
      <c r="I72" s="136"/>
      <c r="J72" s="136"/>
      <c r="K72" s="125">
        <v>5</v>
      </c>
      <c r="L72" s="125">
        <v>3</v>
      </c>
      <c r="M72" s="125">
        <v>4</v>
      </c>
      <c r="N72" s="125">
        <v>2</v>
      </c>
      <c r="O72" s="136"/>
      <c r="P72" s="136"/>
      <c r="Q72" s="136"/>
      <c r="R72" s="136"/>
      <c r="S72" s="136"/>
      <c r="T72" s="136"/>
    </row>
    <row r="73" spans="1:21" s="576" customFormat="1" ht="24.95" customHeight="1">
      <c r="A73" s="568"/>
      <c r="B73" s="591" t="s">
        <v>987</v>
      </c>
      <c r="C73" s="125" t="s">
        <v>116</v>
      </c>
      <c r="D73" s="125"/>
      <c r="E73" s="125"/>
      <c r="F73" s="125"/>
      <c r="G73" s="125"/>
      <c r="H73" s="125"/>
      <c r="I73" s="136"/>
      <c r="J73" s="136"/>
      <c r="K73" s="125">
        <v>1000</v>
      </c>
      <c r="L73" s="125">
        <v>600</v>
      </c>
      <c r="M73" s="125">
        <v>800</v>
      </c>
      <c r="N73" s="125">
        <v>400</v>
      </c>
      <c r="O73" s="136"/>
      <c r="P73" s="136"/>
      <c r="Q73" s="136"/>
      <c r="R73" s="136"/>
      <c r="S73" s="136"/>
      <c r="T73" s="136"/>
    </row>
    <row r="74" spans="1:21" s="570" customFormat="1" ht="24.95" customHeight="1">
      <c r="A74" s="592"/>
      <c r="B74" s="591" t="s">
        <v>988</v>
      </c>
      <c r="C74" s="125" t="s">
        <v>116</v>
      </c>
      <c r="D74" s="136"/>
      <c r="E74" s="136"/>
      <c r="F74" s="136"/>
      <c r="G74" s="136"/>
      <c r="H74" s="136"/>
      <c r="I74" s="136"/>
      <c r="J74" s="136"/>
      <c r="K74" s="125">
        <f>K73+K71</f>
        <v>3000</v>
      </c>
      <c r="L74" s="125">
        <f t="shared" ref="L74:T74" si="11">L73+L71</f>
        <v>2600</v>
      </c>
      <c r="M74" s="125">
        <f t="shared" si="11"/>
        <v>2800</v>
      </c>
      <c r="N74" s="125">
        <f t="shared" si="11"/>
        <v>2400</v>
      </c>
      <c r="O74" s="125">
        <f t="shared" si="11"/>
        <v>5000</v>
      </c>
      <c r="P74" s="125">
        <f t="shared" si="11"/>
        <v>5000</v>
      </c>
      <c r="Q74" s="125">
        <f t="shared" si="11"/>
        <v>5000</v>
      </c>
      <c r="R74" s="125">
        <f t="shared" si="11"/>
        <v>5000</v>
      </c>
      <c r="S74" s="125">
        <f t="shared" si="11"/>
        <v>5000</v>
      </c>
      <c r="T74" s="125">
        <f t="shared" si="11"/>
        <v>20000</v>
      </c>
      <c r="U74" s="576"/>
    </row>
    <row r="75" spans="1:21" s="570" customFormat="1" ht="24.95" customHeight="1">
      <c r="A75" s="568">
        <v>7</v>
      </c>
      <c r="B75" s="593" t="s">
        <v>132</v>
      </c>
      <c r="C75" s="125" t="s">
        <v>116</v>
      </c>
      <c r="D75" s="133">
        <v>5457</v>
      </c>
      <c r="E75" s="133">
        <v>8731.75</v>
      </c>
      <c r="F75" s="133">
        <v>12401</v>
      </c>
      <c r="G75" s="133">
        <v>13555</v>
      </c>
      <c r="H75" s="133">
        <v>13483</v>
      </c>
      <c r="I75" s="133">
        <v>17007</v>
      </c>
      <c r="J75" s="133">
        <v>18130</v>
      </c>
      <c r="K75" s="133">
        <v>18431.5</v>
      </c>
      <c r="L75" s="133">
        <v>18782.8</v>
      </c>
      <c r="M75" s="133">
        <v>19051.3</v>
      </c>
      <c r="N75" s="133">
        <v>19920</v>
      </c>
      <c r="O75" s="133">
        <v>19800</v>
      </c>
      <c r="P75" s="133">
        <v>19871.3</v>
      </c>
      <c r="Q75" s="133">
        <v>19921.099999999999</v>
      </c>
      <c r="R75" s="133">
        <v>20721.2</v>
      </c>
      <c r="S75" s="133">
        <v>21100</v>
      </c>
      <c r="T75" s="133">
        <v>22450</v>
      </c>
      <c r="U75" s="576"/>
    </row>
    <row r="76" spans="1:21" s="576" customFormat="1" ht="24.95" customHeight="1">
      <c r="A76" s="571"/>
      <c r="B76" s="580" t="s">
        <v>123</v>
      </c>
      <c r="C76" s="121" t="s">
        <v>90</v>
      </c>
      <c r="D76" s="125">
        <v>6030</v>
      </c>
      <c r="E76" s="125">
        <v>10979.75</v>
      </c>
      <c r="F76" s="125">
        <v>13473</v>
      </c>
      <c r="G76" s="125">
        <v>13555</v>
      </c>
      <c r="H76" s="125">
        <v>13483</v>
      </c>
      <c r="I76" s="125">
        <v>17007</v>
      </c>
      <c r="J76" s="125">
        <v>18130</v>
      </c>
      <c r="K76" s="125">
        <v>18430</v>
      </c>
      <c r="L76" s="125">
        <v>18780</v>
      </c>
      <c r="M76" s="125">
        <v>19050</v>
      </c>
      <c r="N76" s="125">
        <v>19120</v>
      </c>
      <c r="O76" s="125">
        <v>19500</v>
      </c>
      <c r="P76" s="125">
        <v>19870</v>
      </c>
      <c r="Q76" s="125">
        <v>19920</v>
      </c>
      <c r="R76" s="125">
        <v>20720</v>
      </c>
      <c r="S76" s="125">
        <v>21100</v>
      </c>
      <c r="T76" s="125">
        <v>22450</v>
      </c>
    </row>
    <row r="77" spans="1:21" s="576" customFormat="1" ht="24.95" customHeight="1">
      <c r="A77" s="568"/>
      <c r="B77" s="580" t="s">
        <v>952</v>
      </c>
      <c r="C77" s="146" t="s">
        <v>90</v>
      </c>
      <c r="D77" s="125">
        <v>19046</v>
      </c>
      <c r="E77" s="125">
        <f>(E53-D53)*500+(E56-D56)*800+(E57-D57)*2500+(E58-D58)*250+(E61-D61)*200+(E63-D63)*500+(E66-D66)*200+(E67-D67)*500+E74</f>
        <v>7750</v>
      </c>
      <c r="F77" s="125">
        <f t="shared" ref="F77:T77" si="12">(F53-E53)*500+(F56-E56)*800+(F57-E57)*2500+(F58-E58)*250+(F61-E61)*200+(F63-E63)*500+(F66-E66)*200+(F67-E67)*500+F74</f>
        <v>14050</v>
      </c>
      <c r="G77" s="125">
        <f t="shared" si="12"/>
        <v>4500</v>
      </c>
      <c r="H77" s="125">
        <f t="shared" si="12"/>
        <v>0</v>
      </c>
      <c r="I77" s="125">
        <f t="shared" si="12"/>
        <v>500</v>
      </c>
      <c r="J77" s="125">
        <f t="shared" si="12"/>
        <v>3500</v>
      </c>
      <c r="K77" s="125">
        <f t="shared" si="12"/>
        <v>9250</v>
      </c>
      <c r="L77" s="125">
        <f t="shared" si="12"/>
        <v>2850</v>
      </c>
      <c r="M77" s="125">
        <f t="shared" si="12"/>
        <v>2800</v>
      </c>
      <c r="N77" s="125">
        <f t="shared" si="12"/>
        <v>17700</v>
      </c>
      <c r="O77" s="125">
        <f t="shared" si="12"/>
        <v>10400</v>
      </c>
      <c r="P77" s="125">
        <f t="shared" si="12"/>
        <v>9100</v>
      </c>
      <c r="Q77" s="125">
        <f t="shared" si="12"/>
        <v>7900</v>
      </c>
      <c r="R77" s="125">
        <f>(R53-Q53)*500+(R56-Q56)*800+(R57-Q57)*2500+(R58-Q58)*250+(R61-Q61)*200+(R63-Q63)*500+(R66-Q66)*200+(R67-Q67)*500+R74</f>
        <v>9100</v>
      </c>
      <c r="S77" s="125">
        <f t="shared" si="12"/>
        <v>9100</v>
      </c>
      <c r="T77" s="125">
        <f t="shared" si="12"/>
        <v>47200</v>
      </c>
    </row>
    <row r="78" spans="1:21" ht="18" customHeight="1">
      <c r="E78" s="595"/>
      <c r="F78" s="595"/>
      <c r="G78" s="595"/>
      <c r="H78" s="595"/>
      <c r="I78" s="595"/>
      <c r="J78" s="595"/>
      <c r="K78" s="595"/>
      <c r="L78" s="595"/>
      <c r="M78" s="595"/>
      <c r="N78" s="595"/>
      <c r="O78" s="595"/>
      <c r="P78" s="595"/>
      <c r="Q78" s="595"/>
      <c r="R78" s="595"/>
      <c r="S78" s="595"/>
      <c r="T78" s="595"/>
    </row>
    <row r="79" spans="1:21" ht="18" customHeight="1">
      <c r="E79" s="595"/>
      <c r="F79" s="595"/>
      <c r="G79" s="595"/>
      <c r="H79" s="595"/>
      <c r="I79" s="595"/>
      <c r="J79" s="595"/>
      <c r="K79" s="595"/>
      <c r="L79" s="595"/>
      <c r="M79" s="595"/>
      <c r="N79" s="595"/>
      <c r="O79" s="595"/>
      <c r="P79" s="595"/>
      <c r="Q79" s="595"/>
      <c r="R79" s="595"/>
      <c r="S79" s="595"/>
      <c r="T79" s="595"/>
    </row>
    <row r="80" spans="1:21" ht="18" customHeight="1">
      <c r="B80" s="572" t="s">
        <v>106</v>
      </c>
      <c r="E80" s="595"/>
      <c r="F80" s="595"/>
      <c r="G80" s="595"/>
      <c r="H80" s="595"/>
      <c r="I80" s="595"/>
      <c r="J80" s="595">
        <f t="shared" ref="J80:S80" si="13">J53-I53</f>
        <v>0</v>
      </c>
      <c r="K80" s="595">
        <f t="shared" si="13"/>
        <v>0</v>
      </c>
      <c r="L80" s="595">
        <f t="shared" si="13"/>
        <v>0</v>
      </c>
      <c r="M80" s="595">
        <f t="shared" si="13"/>
        <v>0</v>
      </c>
      <c r="N80" s="595">
        <f t="shared" si="13"/>
        <v>24</v>
      </c>
      <c r="O80" s="595">
        <f t="shared" si="13"/>
        <v>0</v>
      </c>
      <c r="P80" s="595">
        <f t="shared" si="13"/>
        <v>5</v>
      </c>
      <c r="Q80" s="595">
        <f t="shared" si="13"/>
        <v>5</v>
      </c>
      <c r="R80" s="595">
        <f t="shared" si="13"/>
        <v>5</v>
      </c>
      <c r="S80" s="595">
        <f t="shared" si="13"/>
        <v>5</v>
      </c>
      <c r="T80" s="595">
        <f>T53-S53</f>
        <v>23</v>
      </c>
    </row>
    <row r="81" spans="2:20" ht="38.25">
      <c r="B81" s="588" t="s">
        <v>305</v>
      </c>
      <c r="E81" s="595"/>
      <c r="F81" s="595"/>
      <c r="G81" s="595"/>
      <c r="H81" s="595"/>
      <c r="I81" s="595"/>
      <c r="J81" s="595">
        <f t="shared" ref="J81:S81" si="14">J56-I56</f>
        <v>1</v>
      </c>
      <c r="K81" s="595">
        <f t="shared" si="14"/>
        <v>1</v>
      </c>
      <c r="L81" s="595">
        <f t="shared" si="14"/>
        <v>0</v>
      </c>
      <c r="M81" s="595">
        <f t="shared" si="14"/>
        <v>0</v>
      </c>
      <c r="N81" s="595">
        <f t="shared" si="14"/>
        <v>1</v>
      </c>
      <c r="O81" s="595">
        <f t="shared" si="14"/>
        <v>0</v>
      </c>
      <c r="P81" s="595">
        <f t="shared" si="14"/>
        <v>2</v>
      </c>
      <c r="Q81" s="595">
        <f t="shared" si="14"/>
        <v>0</v>
      </c>
      <c r="R81" s="595">
        <f t="shared" si="14"/>
        <v>2</v>
      </c>
      <c r="S81" s="595">
        <f t="shared" si="14"/>
        <v>2</v>
      </c>
      <c r="T81" s="595">
        <f>T56-S56</f>
        <v>10</v>
      </c>
    </row>
    <row r="82" spans="2:20" ht="18" customHeight="1">
      <c r="B82" s="580" t="s">
        <v>306</v>
      </c>
      <c r="E82" s="595"/>
      <c r="F82" s="595"/>
      <c r="G82" s="595"/>
      <c r="H82" s="595"/>
      <c r="I82" s="595"/>
      <c r="J82" s="595">
        <f t="shared" ref="J82:S82" si="15">J57-I57</f>
        <v>1</v>
      </c>
      <c r="K82" s="595">
        <f t="shared" si="15"/>
        <v>0</v>
      </c>
      <c r="L82" s="595">
        <f t="shared" si="15"/>
        <v>0</v>
      </c>
      <c r="M82" s="595">
        <f t="shared" si="15"/>
        <v>0</v>
      </c>
      <c r="N82" s="595">
        <f t="shared" si="15"/>
        <v>1</v>
      </c>
      <c r="O82" s="595">
        <f t="shared" si="15"/>
        <v>2</v>
      </c>
      <c r="P82" s="595">
        <f t="shared" si="15"/>
        <v>0</v>
      </c>
      <c r="Q82" s="595">
        <f t="shared" si="15"/>
        <v>0</v>
      </c>
      <c r="R82" s="595">
        <f t="shared" si="15"/>
        <v>0</v>
      </c>
      <c r="S82" s="595">
        <f t="shared" si="15"/>
        <v>0</v>
      </c>
      <c r="T82" s="595">
        <f>T57-S57</f>
        <v>3</v>
      </c>
    </row>
    <row r="83" spans="2:20" ht="18" customHeight="1">
      <c r="B83" s="580" t="s">
        <v>112</v>
      </c>
      <c r="E83" s="595"/>
      <c r="J83" s="595">
        <f t="shared" ref="J83:S83" si="16">J59-I59</f>
        <v>0</v>
      </c>
      <c r="K83" s="595">
        <f t="shared" si="16"/>
        <v>3</v>
      </c>
      <c r="L83" s="595">
        <f t="shared" si="16"/>
        <v>1</v>
      </c>
      <c r="M83" s="595">
        <f t="shared" si="16"/>
        <v>0</v>
      </c>
      <c r="N83" s="595">
        <f t="shared" si="16"/>
        <v>0</v>
      </c>
      <c r="O83" s="595">
        <f t="shared" si="16"/>
        <v>0</v>
      </c>
      <c r="P83" s="595">
        <f t="shared" si="16"/>
        <v>0</v>
      </c>
      <c r="Q83" s="595">
        <f t="shared" si="16"/>
        <v>0</v>
      </c>
      <c r="R83" s="595">
        <f t="shared" si="16"/>
        <v>0</v>
      </c>
      <c r="S83" s="595">
        <f t="shared" si="16"/>
        <v>0</v>
      </c>
      <c r="T83" s="595">
        <f>T59-S59</f>
        <v>0</v>
      </c>
    </row>
    <row r="84" spans="2:20" ht="18" customHeight="1">
      <c r="B84" s="572" t="s">
        <v>229</v>
      </c>
      <c r="E84" s="595"/>
      <c r="F84" s="595"/>
      <c r="G84" s="595"/>
      <c r="H84" s="595"/>
      <c r="I84" s="595"/>
      <c r="J84" s="595">
        <f t="shared" ref="J84:S84" si="17">J61-I61</f>
        <v>0</v>
      </c>
      <c r="K84" s="595">
        <f t="shared" si="17"/>
        <v>21</v>
      </c>
      <c r="L84" s="595">
        <f t="shared" si="17"/>
        <v>0</v>
      </c>
      <c r="M84" s="595">
        <f t="shared" si="17"/>
        <v>0</v>
      </c>
      <c r="N84" s="595">
        <f t="shared" si="17"/>
        <v>0</v>
      </c>
      <c r="O84" s="595">
        <f t="shared" si="17"/>
        <v>2</v>
      </c>
      <c r="P84" s="595">
        <f t="shared" si="17"/>
        <v>0</v>
      </c>
      <c r="Q84" s="595">
        <f t="shared" si="17"/>
        <v>2</v>
      </c>
      <c r="R84" s="595">
        <f t="shared" si="17"/>
        <v>0</v>
      </c>
      <c r="S84" s="595">
        <f t="shared" si="17"/>
        <v>0</v>
      </c>
      <c r="T84" s="595">
        <f>T61-S61</f>
        <v>0</v>
      </c>
    </row>
    <row r="85" spans="2:20" ht="18" customHeight="1">
      <c r="B85" s="580" t="s">
        <v>145</v>
      </c>
      <c r="E85" s="595"/>
      <c r="F85" s="595"/>
      <c r="G85" s="595"/>
      <c r="H85" s="595"/>
      <c r="I85" s="595"/>
      <c r="J85" s="595">
        <f t="shared" ref="J85:S85" si="18">J63-I63</f>
        <v>0</v>
      </c>
      <c r="K85" s="595">
        <f t="shared" si="18"/>
        <v>1</v>
      </c>
      <c r="L85" s="595">
        <f t="shared" si="18"/>
        <v>0</v>
      </c>
      <c r="M85" s="595">
        <f t="shared" si="18"/>
        <v>0</v>
      </c>
      <c r="N85" s="595">
        <f t="shared" si="18"/>
        <v>0</v>
      </c>
      <c r="O85" s="595">
        <f t="shared" si="18"/>
        <v>0</v>
      </c>
      <c r="P85" s="595">
        <f t="shared" si="18"/>
        <v>0</v>
      </c>
      <c r="Q85" s="595">
        <f t="shared" si="18"/>
        <v>0</v>
      </c>
      <c r="R85" s="595">
        <f t="shared" si="18"/>
        <v>0</v>
      </c>
      <c r="S85" s="595">
        <f t="shared" si="18"/>
        <v>0</v>
      </c>
      <c r="T85" s="595">
        <f>T63-S63</f>
        <v>0</v>
      </c>
    </row>
    <row r="86" spans="2:20" ht="18" customHeight="1">
      <c r="B86" s="572" t="s">
        <v>265</v>
      </c>
      <c r="E86" s="595"/>
      <c r="F86" s="595"/>
      <c r="G86" s="595"/>
      <c r="H86" s="595"/>
      <c r="I86" s="595"/>
      <c r="J86" s="595">
        <f t="shared" ref="J86:S86" si="19">J66-I66</f>
        <v>1</v>
      </c>
      <c r="K86" s="595">
        <f t="shared" si="19"/>
        <v>0</v>
      </c>
      <c r="L86" s="595">
        <f t="shared" si="19"/>
        <v>0</v>
      </c>
      <c r="M86" s="595">
        <f t="shared" si="19"/>
        <v>0</v>
      </c>
      <c r="N86" s="595">
        <f t="shared" si="19"/>
        <v>0</v>
      </c>
      <c r="O86" s="595">
        <f t="shared" si="19"/>
        <v>0</v>
      </c>
      <c r="P86" s="595">
        <f t="shared" si="19"/>
        <v>0</v>
      </c>
      <c r="Q86" s="595">
        <f t="shared" si="19"/>
        <v>0</v>
      </c>
      <c r="R86" s="595">
        <f t="shared" si="19"/>
        <v>0</v>
      </c>
      <c r="S86" s="595">
        <f t="shared" si="19"/>
        <v>0</v>
      </c>
      <c r="T86" s="595">
        <f>T66-S66</f>
        <v>1</v>
      </c>
    </row>
    <row r="87" spans="2:20" ht="18" customHeight="1">
      <c r="B87" s="572" t="s">
        <v>983</v>
      </c>
      <c r="E87" s="595"/>
      <c r="F87" s="595"/>
      <c r="G87" s="595"/>
      <c r="H87" s="595"/>
      <c r="I87" s="595"/>
      <c r="J87" s="595">
        <v>0</v>
      </c>
      <c r="K87" s="595">
        <v>0</v>
      </c>
      <c r="L87" s="595">
        <v>0</v>
      </c>
      <c r="M87" s="595">
        <v>0</v>
      </c>
      <c r="N87" s="595">
        <v>0</v>
      </c>
      <c r="O87" s="595">
        <v>0</v>
      </c>
      <c r="P87" s="595">
        <v>0</v>
      </c>
      <c r="Q87" s="595">
        <v>0</v>
      </c>
      <c r="R87" s="595">
        <v>0</v>
      </c>
      <c r="S87" s="595">
        <v>0</v>
      </c>
      <c r="T87" s="595">
        <v>0</v>
      </c>
    </row>
    <row r="88" spans="2:20" ht="18" customHeight="1">
      <c r="B88" s="566" t="s">
        <v>953</v>
      </c>
      <c r="E88" s="595"/>
      <c r="F88" s="595"/>
      <c r="G88" s="595"/>
      <c r="H88" s="595"/>
      <c r="I88" s="595"/>
      <c r="J88" s="595">
        <f>J70</f>
        <v>0</v>
      </c>
      <c r="K88" s="595">
        <f t="shared" ref="K88:T88" si="20">K70</f>
        <v>2</v>
      </c>
      <c r="L88" s="595">
        <f t="shared" si="20"/>
        <v>2</v>
      </c>
      <c r="M88" s="595">
        <f t="shared" si="20"/>
        <v>2</v>
      </c>
      <c r="N88" s="595">
        <f t="shared" si="20"/>
        <v>2</v>
      </c>
      <c r="O88" s="595">
        <f t="shared" si="20"/>
        <v>5</v>
      </c>
      <c r="P88" s="595">
        <f t="shared" si="20"/>
        <v>5</v>
      </c>
      <c r="Q88" s="595">
        <f t="shared" si="20"/>
        <v>5</v>
      </c>
      <c r="R88" s="595">
        <f t="shared" si="20"/>
        <v>5</v>
      </c>
      <c r="S88" s="595">
        <f t="shared" si="20"/>
        <v>5</v>
      </c>
      <c r="T88" s="595">
        <f t="shared" si="20"/>
        <v>20</v>
      </c>
    </row>
  </sheetData>
  <mergeCells count="11">
    <mergeCell ref="Z22:AA22"/>
    <mergeCell ref="AB22:AC22"/>
    <mergeCell ref="AD22:AE22"/>
    <mergeCell ref="V22:W22"/>
    <mergeCell ref="X22:Y22"/>
    <mergeCell ref="A1:T1"/>
    <mergeCell ref="A2:A3"/>
    <mergeCell ref="B2:B3"/>
    <mergeCell ref="C2:C3"/>
    <mergeCell ref="D2:I2"/>
    <mergeCell ref="J2:T2"/>
  </mergeCells>
  <phoneticPr fontId="40" type="noConversion"/>
  <printOptions horizontalCentered="1"/>
  <pageMargins left="0.19" right="0.18" top="0.51" bottom="0.22" header="0.26" footer="0.16"/>
  <pageSetup paperSize="8" scale="70" orientation="landscape" horizontalDpi="300" verticalDpi="300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/>
  <dimension ref="A1:AE1048"/>
  <sheetViews>
    <sheetView topLeftCell="A121" zoomScale="85" workbookViewId="0">
      <pane ySplit="2085" topLeftCell="A127" activePane="bottomLeft"/>
      <selection activeCell="J81" sqref="J81"/>
      <selection pane="bottomLeft" activeCell="J81" sqref="J81"/>
    </sheetView>
  </sheetViews>
  <sheetFormatPr defaultRowHeight="18" customHeight="1"/>
  <cols>
    <col min="1" max="1" width="2.875" style="300" customWidth="1"/>
    <col min="2" max="2" width="25.75" style="300" customWidth="1"/>
    <col min="3" max="3" width="5.25" style="301" customWidth="1"/>
    <col min="4" max="8" width="6.5" style="301" customWidth="1"/>
    <col min="9" max="9" width="6.5" style="499" customWidth="1"/>
    <col min="10" max="10" width="6.5" style="301" customWidth="1"/>
    <col min="11" max="20" width="6.625" style="301" customWidth="1"/>
    <col min="21" max="16384" width="9" style="300"/>
  </cols>
  <sheetData>
    <row r="1" spans="1:21" ht="18" customHeight="1">
      <c r="A1" s="299"/>
    </row>
    <row r="2" spans="1:21" ht="18" customHeight="1">
      <c r="A2" s="803" t="s">
        <v>759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  <c r="L2" s="803"/>
      <c r="M2" s="803"/>
      <c r="N2" s="803"/>
      <c r="O2" s="803"/>
      <c r="P2" s="803"/>
      <c r="Q2" s="803"/>
      <c r="R2" s="803"/>
      <c r="S2" s="803"/>
      <c r="T2" s="803"/>
    </row>
    <row r="3" spans="1:21" ht="16.5" customHeight="1">
      <c r="A3" s="804"/>
      <c r="B3" s="804"/>
      <c r="C3" s="804"/>
      <c r="D3" s="804"/>
      <c r="E3" s="804"/>
      <c r="F3" s="804"/>
      <c r="G3" s="804"/>
      <c r="H3" s="804"/>
      <c r="I3" s="804"/>
      <c r="J3" s="804"/>
      <c r="K3" s="804"/>
      <c r="L3" s="804"/>
      <c r="M3" s="804"/>
      <c r="N3" s="804"/>
      <c r="O3" s="804"/>
      <c r="P3" s="804"/>
      <c r="Q3" s="804"/>
      <c r="R3" s="804"/>
      <c r="S3" s="804"/>
      <c r="T3" s="804"/>
    </row>
    <row r="4" spans="1:21" s="303" customFormat="1" ht="12.75">
      <c r="A4" s="805" t="s">
        <v>1</v>
      </c>
      <c r="B4" s="805" t="s">
        <v>2</v>
      </c>
      <c r="C4" s="805" t="s">
        <v>760</v>
      </c>
      <c r="D4" s="806" t="s">
        <v>175</v>
      </c>
      <c r="E4" s="807"/>
      <c r="F4" s="807"/>
      <c r="G4" s="807"/>
      <c r="H4" s="807"/>
      <c r="I4" s="808"/>
      <c r="J4" s="809" t="s">
        <v>761</v>
      </c>
      <c r="K4" s="810"/>
      <c r="L4" s="810"/>
      <c r="M4" s="810"/>
      <c r="N4" s="810"/>
      <c r="O4" s="810"/>
      <c r="P4" s="810"/>
      <c r="Q4" s="810"/>
      <c r="R4" s="810"/>
      <c r="S4" s="810"/>
      <c r="T4" s="811"/>
    </row>
    <row r="5" spans="1:21" s="303" customFormat="1" ht="27" customHeight="1">
      <c r="A5" s="805"/>
      <c r="B5" s="805"/>
      <c r="C5" s="805"/>
      <c r="D5" s="302">
        <v>2010</v>
      </c>
      <c r="E5" s="302">
        <v>2011</v>
      </c>
      <c r="F5" s="302">
        <v>2012</v>
      </c>
      <c r="G5" s="302">
        <v>2013</v>
      </c>
      <c r="H5" s="302">
        <v>2014</v>
      </c>
      <c r="I5" s="500">
        <v>2015</v>
      </c>
      <c r="J5" s="302" t="s">
        <v>77</v>
      </c>
      <c r="K5" s="302" t="s">
        <v>78</v>
      </c>
      <c r="L5" s="302" t="s">
        <v>79</v>
      </c>
      <c r="M5" s="302" t="s">
        <v>762</v>
      </c>
      <c r="N5" s="302" t="s">
        <v>763</v>
      </c>
      <c r="O5" s="302" t="s">
        <v>764</v>
      </c>
      <c r="P5" s="302" t="s">
        <v>83</v>
      </c>
      <c r="Q5" s="302" t="s">
        <v>84</v>
      </c>
      <c r="R5" s="302" t="s">
        <v>85</v>
      </c>
      <c r="S5" s="302" t="s">
        <v>86</v>
      </c>
      <c r="T5" s="302" t="s">
        <v>765</v>
      </c>
    </row>
    <row r="6" spans="1:21" s="303" customFormat="1" ht="17.25" customHeight="1">
      <c r="A6" s="302" t="s">
        <v>766</v>
      </c>
      <c r="B6" s="304" t="s">
        <v>767</v>
      </c>
      <c r="C6" s="302"/>
      <c r="D6" s="302"/>
      <c r="E6" s="302"/>
      <c r="F6" s="302"/>
      <c r="G6" s="302"/>
      <c r="H6" s="302"/>
      <c r="I6" s="500"/>
      <c r="J6" s="305"/>
      <c r="K6" s="305"/>
      <c r="L6" s="305"/>
      <c r="M6" s="305"/>
      <c r="N6" s="302"/>
      <c r="O6" s="302"/>
      <c r="P6" s="302"/>
      <c r="Q6" s="302"/>
      <c r="R6" s="302"/>
      <c r="S6" s="302"/>
      <c r="T6" s="302"/>
    </row>
    <row r="7" spans="1:21" s="303" customFormat="1" ht="17.25" customHeight="1">
      <c r="A7" s="306" t="s">
        <v>327</v>
      </c>
      <c r="B7" s="307" t="s">
        <v>40</v>
      </c>
      <c r="C7" s="306"/>
      <c r="D7" s="360">
        <f>D8+D9+D10</f>
        <v>4</v>
      </c>
      <c r="E7" s="360">
        <f t="shared" ref="E7:T7" si="0">E8+E9+E10</f>
        <v>4</v>
      </c>
      <c r="F7" s="360">
        <f t="shared" si="0"/>
        <v>4</v>
      </c>
      <c r="G7" s="360">
        <f t="shared" si="0"/>
        <v>4</v>
      </c>
      <c r="H7" s="360">
        <f t="shared" si="0"/>
        <v>4</v>
      </c>
      <c r="I7" s="501">
        <f t="shared" si="0"/>
        <v>4</v>
      </c>
      <c r="J7" s="360">
        <f t="shared" si="0"/>
        <v>4</v>
      </c>
      <c r="K7" s="360">
        <f t="shared" si="0"/>
        <v>3</v>
      </c>
      <c r="L7" s="360">
        <f t="shared" si="0"/>
        <v>3</v>
      </c>
      <c r="M7" s="360">
        <f t="shared" si="0"/>
        <v>3</v>
      </c>
      <c r="N7" s="360">
        <f t="shared" si="0"/>
        <v>3</v>
      </c>
      <c r="O7" s="360">
        <f t="shared" si="0"/>
        <v>3</v>
      </c>
      <c r="P7" s="360">
        <f t="shared" si="0"/>
        <v>3</v>
      </c>
      <c r="Q7" s="360">
        <f t="shared" si="0"/>
        <v>3</v>
      </c>
      <c r="R7" s="360">
        <f t="shared" si="0"/>
        <v>3</v>
      </c>
      <c r="S7" s="360">
        <f t="shared" si="0"/>
        <v>3</v>
      </c>
      <c r="T7" s="360">
        <f t="shared" si="0"/>
        <v>3</v>
      </c>
    </row>
    <row r="8" spans="1:21" s="303" customFormat="1" ht="17.25" customHeight="1">
      <c r="A8" s="306"/>
      <c r="B8" s="308" t="s">
        <v>768</v>
      </c>
      <c r="C8" s="306"/>
      <c r="D8" s="360"/>
      <c r="E8" s="360"/>
      <c r="F8" s="360"/>
      <c r="G8" s="360"/>
      <c r="H8" s="360"/>
      <c r="I8" s="501"/>
      <c r="J8" s="486"/>
      <c r="K8" s="309">
        <v>1</v>
      </c>
      <c r="L8" s="309">
        <v>1</v>
      </c>
      <c r="M8" s="309">
        <v>1</v>
      </c>
      <c r="N8" s="309">
        <v>1</v>
      </c>
      <c r="O8" s="309">
        <v>1</v>
      </c>
      <c r="P8" s="309">
        <v>1</v>
      </c>
      <c r="Q8" s="309">
        <v>1</v>
      </c>
      <c r="R8" s="309">
        <v>1</v>
      </c>
      <c r="S8" s="309">
        <v>1</v>
      </c>
      <c r="T8" s="309">
        <v>1</v>
      </c>
    </row>
    <row r="9" spans="1:21" s="303" customFormat="1" ht="17.25" customHeight="1">
      <c r="A9" s="310"/>
      <c r="B9" s="308" t="s">
        <v>769</v>
      </c>
      <c r="C9" s="310" t="s">
        <v>770</v>
      </c>
      <c r="D9" s="311">
        <v>3</v>
      </c>
      <c r="E9" s="311">
        <v>3</v>
      </c>
      <c r="F9" s="311">
        <v>3</v>
      </c>
      <c r="G9" s="311">
        <v>3</v>
      </c>
      <c r="H9" s="311">
        <v>3</v>
      </c>
      <c r="I9" s="494">
        <v>3</v>
      </c>
      <c r="J9" s="311">
        <v>3</v>
      </c>
      <c r="K9" s="311">
        <v>1</v>
      </c>
      <c r="L9" s="311">
        <v>1</v>
      </c>
      <c r="M9" s="311">
        <v>1</v>
      </c>
      <c r="N9" s="311">
        <v>1</v>
      </c>
      <c r="O9" s="311">
        <v>1</v>
      </c>
      <c r="P9" s="311">
        <v>1</v>
      </c>
      <c r="Q9" s="311">
        <v>1</v>
      </c>
      <c r="R9" s="311">
        <v>1</v>
      </c>
      <c r="S9" s="311">
        <v>1</v>
      </c>
      <c r="T9" s="311">
        <v>1</v>
      </c>
    </row>
    <row r="10" spans="1:21" s="303" customFormat="1" ht="17.25" customHeight="1">
      <c r="A10" s="310"/>
      <c r="B10" s="308" t="s">
        <v>771</v>
      </c>
      <c r="C10" s="310" t="s">
        <v>770</v>
      </c>
      <c r="D10" s="311">
        <v>1</v>
      </c>
      <c r="E10" s="311">
        <v>1</v>
      </c>
      <c r="F10" s="311">
        <v>1</v>
      </c>
      <c r="G10" s="311">
        <v>1</v>
      </c>
      <c r="H10" s="311">
        <v>1</v>
      </c>
      <c r="I10" s="494">
        <v>1</v>
      </c>
      <c r="J10" s="311">
        <v>1</v>
      </c>
      <c r="K10" s="311">
        <v>1</v>
      </c>
      <c r="L10" s="311">
        <v>1</v>
      </c>
      <c r="M10" s="311">
        <v>1</v>
      </c>
      <c r="N10" s="311">
        <v>1</v>
      </c>
      <c r="O10" s="311">
        <v>1</v>
      </c>
      <c r="P10" s="311">
        <v>1</v>
      </c>
      <c r="Q10" s="311">
        <v>1</v>
      </c>
      <c r="R10" s="311">
        <v>1</v>
      </c>
      <c r="S10" s="311">
        <v>1</v>
      </c>
      <c r="T10" s="311">
        <v>1</v>
      </c>
      <c r="U10" s="312"/>
    </row>
    <row r="11" spans="1:21" s="303" customFormat="1" ht="17.25" customHeight="1">
      <c r="A11" s="306" t="s">
        <v>458</v>
      </c>
      <c r="B11" s="313" t="s">
        <v>772</v>
      </c>
      <c r="C11" s="310" t="s">
        <v>94</v>
      </c>
      <c r="D11" s="360">
        <f>D12+D18+D22</f>
        <v>11263</v>
      </c>
      <c r="E11" s="360">
        <f t="shared" ref="E11:T11" si="1">E12+E18+E22</f>
        <v>12821</v>
      </c>
      <c r="F11" s="360">
        <f t="shared" si="1"/>
        <v>12628</v>
      </c>
      <c r="G11" s="360">
        <f t="shared" si="1"/>
        <v>9885</v>
      </c>
      <c r="H11" s="360">
        <f t="shared" si="1"/>
        <v>9090</v>
      </c>
      <c r="I11" s="501">
        <f t="shared" si="1"/>
        <v>7102</v>
      </c>
      <c r="J11" s="360">
        <f t="shared" si="1"/>
        <v>7737</v>
      </c>
      <c r="K11" s="360">
        <f t="shared" si="1"/>
        <v>8264</v>
      </c>
      <c r="L11" s="360">
        <f t="shared" si="1"/>
        <v>9185</v>
      </c>
      <c r="M11" s="360">
        <f t="shared" si="1"/>
        <v>9606</v>
      </c>
      <c r="N11" s="360">
        <f t="shared" si="1"/>
        <v>9700</v>
      </c>
      <c r="O11" s="360">
        <f t="shared" si="1"/>
        <v>9660</v>
      </c>
      <c r="P11" s="360">
        <f t="shared" si="1"/>
        <v>10080</v>
      </c>
      <c r="Q11" s="360">
        <f t="shared" si="1"/>
        <v>9910</v>
      </c>
      <c r="R11" s="360">
        <f t="shared" si="1"/>
        <v>9780</v>
      </c>
      <c r="S11" s="360">
        <f t="shared" si="1"/>
        <v>9895</v>
      </c>
      <c r="T11" s="360">
        <f t="shared" si="1"/>
        <v>10360</v>
      </c>
    </row>
    <row r="12" spans="1:21" s="303" customFormat="1" ht="17.25" customHeight="1">
      <c r="A12" s="314" t="s">
        <v>773</v>
      </c>
      <c r="B12" s="315" t="s">
        <v>774</v>
      </c>
      <c r="C12" s="310" t="s">
        <v>94</v>
      </c>
      <c r="D12" s="360">
        <f>D128+D136+D145+D154</f>
        <v>8569</v>
      </c>
      <c r="E12" s="360">
        <f t="shared" ref="E12:T12" si="2">E128+E136+E145+E154</f>
        <v>9287</v>
      </c>
      <c r="F12" s="360">
        <f t="shared" si="2"/>
        <v>9260</v>
      </c>
      <c r="G12" s="360">
        <f t="shared" si="2"/>
        <v>7354</v>
      </c>
      <c r="H12" s="360">
        <f t="shared" si="2"/>
        <v>5854</v>
      </c>
      <c r="I12" s="501">
        <f t="shared" si="2"/>
        <v>5240</v>
      </c>
      <c r="J12" s="487">
        <f>J128+J136+J145+J153</f>
        <v>5404</v>
      </c>
      <c r="K12" s="360">
        <f t="shared" si="2"/>
        <v>5898</v>
      </c>
      <c r="L12" s="360">
        <f t="shared" si="2"/>
        <v>6419</v>
      </c>
      <c r="M12" s="360">
        <f t="shared" si="2"/>
        <v>6790</v>
      </c>
      <c r="N12" s="360">
        <f t="shared" si="2"/>
        <v>6890</v>
      </c>
      <c r="O12" s="360">
        <f t="shared" si="2"/>
        <v>6850</v>
      </c>
      <c r="P12" s="360">
        <f t="shared" si="2"/>
        <v>7220</v>
      </c>
      <c r="Q12" s="360">
        <f t="shared" si="2"/>
        <v>7250</v>
      </c>
      <c r="R12" s="360">
        <f t="shared" si="2"/>
        <v>7520</v>
      </c>
      <c r="S12" s="360">
        <f t="shared" si="2"/>
        <v>7525</v>
      </c>
      <c r="T12" s="360">
        <f t="shared" si="2"/>
        <v>7960</v>
      </c>
    </row>
    <row r="13" spans="1:21" s="303" customFormat="1" ht="17.25" customHeight="1">
      <c r="A13" s="306"/>
      <c r="B13" s="317" t="s">
        <v>775</v>
      </c>
      <c r="C13" s="310" t="s">
        <v>94</v>
      </c>
      <c r="D13" s="311">
        <f>D129+D137+D146</f>
        <v>2275</v>
      </c>
      <c r="E13" s="311">
        <f t="shared" ref="E13:T14" si="3">E129+E137+E146</f>
        <v>2453</v>
      </c>
      <c r="F13" s="311">
        <f t="shared" si="3"/>
        <v>2448</v>
      </c>
      <c r="G13" s="311">
        <f t="shared" si="3"/>
        <v>2315</v>
      </c>
      <c r="H13" s="311">
        <f t="shared" si="3"/>
        <v>1878</v>
      </c>
      <c r="I13" s="494">
        <f t="shared" si="3"/>
        <v>1701</v>
      </c>
      <c r="J13" s="447">
        <f>J129+J137+J146</f>
        <v>1656</v>
      </c>
      <c r="K13" s="311">
        <f t="shared" si="3"/>
        <v>2020</v>
      </c>
      <c r="L13" s="311">
        <f t="shared" si="3"/>
        <v>2284</v>
      </c>
      <c r="M13" s="311">
        <f t="shared" si="3"/>
        <v>2460</v>
      </c>
      <c r="N13" s="311">
        <f t="shared" si="3"/>
        <v>2490</v>
      </c>
      <c r="O13" s="311">
        <f t="shared" si="3"/>
        <v>2570</v>
      </c>
      <c r="P13" s="311">
        <f t="shared" si="3"/>
        <v>2720</v>
      </c>
      <c r="Q13" s="311">
        <f t="shared" si="3"/>
        <v>2770</v>
      </c>
      <c r="R13" s="311">
        <f t="shared" si="3"/>
        <v>2820</v>
      </c>
      <c r="S13" s="311">
        <f t="shared" si="3"/>
        <v>2870</v>
      </c>
      <c r="T13" s="311">
        <f t="shared" si="3"/>
        <v>3220</v>
      </c>
    </row>
    <row r="14" spans="1:21" s="303" customFormat="1" ht="17.25" customHeight="1">
      <c r="A14" s="306"/>
      <c r="B14" s="318" t="s">
        <v>776</v>
      </c>
      <c r="C14" s="310" t="s">
        <v>94</v>
      </c>
      <c r="D14" s="311">
        <f>D130+D138+D147</f>
        <v>2097</v>
      </c>
      <c r="E14" s="311">
        <f t="shared" si="3"/>
        <v>2620</v>
      </c>
      <c r="F14" s="311">
        <f t="shared" si="3"/>
        <v>2856</v>
      </c>
      <c r="G14" s="311">
        <f t="shared" si="3"/>
        <v>2405</v>
      </c>
      <c r="H14" s="311">
        <f t="shared" si="3"/>
        <v>1804</v>
      </c>
      <c r="I14" s="494">
        <f t="shared" si="3"/>
        <v>1145</v>
      </c>
      <c r="J14" s="447">
        <f>J130+J138+J147</f>
        <v>993</v>
      </c>
      <c r="K14" s="311">
        <f t="shared" si="3"/>
        <v>822</v>
      </c>
      <c r="L14" s="311">
        <f t="shared" si="3"/>
        <v>830</v>
      </c>
      <c r="M14" s="311">
        <f t="shared" si="3"/>
        <v>880</v>
      </c>
      <c r="N14" s="311">
        <f t="shared" si="3"/>
        <v>830</v>
      </c>
      <c r="O14" s="311">
        <f t="shared" si="3"/>
        <v>830</v>
      </c>
      <c r="P14" s="311">
        <f t="shared" si="3"/>
        <v>880</v>
      </c>
      <c r="Q14" s="311">
        <f t="shared" si="3"/>
        <v>880</v>
      </c>
      <c r="R14" s="311">
        <f t="shared" si="3"/>
        <v>880</v>
      </c>
      <c r="S14" s="311">
        <f t="shared" si="3"/>
        <v>880</v>
      </c>
      <c r="T14" s="311">
        <f t="shared" si="3"/>
        <v>880</v>
      </c>
    </row>
    <row r="15" spans="1:21" s="303" customFormat="1" ht="17.25" customHeight="1">
      <c r="A15" s="306"/>
      <c r="B15" s="318" t="s">
        <v>777</v>
      </c>
      <c r="C15" s="310" t="s">
        <v>94</v>
      </c>
      <c r="D15" s="311">
        <f>D155</f>
        <v>0</v>
      </c>
      <c r="E15" s="311">
        <f t="shared" ref="E15:T16" si="4">E155</f>
        <v>0</v>
      </c>
      <c r="F15" s="311">
        <f t="shared" si="4"/>
        <v>92</v>
      </c>
      <c r="G15" s="311">
        <f t="shared" si="4"/>
        <v>209</v>
      </c>
      <c r="H15" s="311">
        <f t="shared" si="4"/>
        <v>252</v>
      </c>
      <c r="I15" s="494">
        <f t="shared" si="4"/>
        <v>202</v>
      </c>
      <c r="J15" s="447">
        <f>J155</f>
        <v>409</v>
      </c>
      <c r="K15" s="311">
        <f t="shared" si="4"/>
        <v>575</v>
      </c>
      <c r="L15" s="311">
        <f t="shared" si="4"/>
        <v>535</v>
      </c>
      <c r="M15" s="311">
        <f t="shared" si="4"/>
        <v>750</v>
      </c>
      <c r="N15" s="311">
        <f t="shared" si="4"/>
        <v>750</v>
      </c>
      <c r="O15" s="311">
        <f t="shared" si="4"/>
        <v>750</v>
      </c>
      <c r="P15" s="311">
        <f t="shared" si="4"/>
        <v>800</v>
      </c>
      <c r="Q15" s="311">
        <f t="shared" si="4"/>
        <v>900</v>
      </c>
      <c r="R15" s="311">
        <f t="shared" si="4"/>
        <v>1000</v>
      </c>
      <c r="S15" s="311">
        <f t="shared" si="4"/>
        <v>1050</v>
      </c>
      <c r="T15" s="311">
        <f t="shared" si="4"/>
        <v>990</v>
      </c>
    </row>
    <row r="16" spans="1:21" s="303" customFormat="1" ht="17.25" customHeight="1">
      <c r="A16" s="306"/>
      <c r="B16" s="318" t="s">
        <v>778</v>
      </c>
      <c r="C16" s="310" t="s">
        <v>94</v>
      </c>
      <c r="D16" s="311">
        <f>D156</f>
        <v>774</v>
      </c>
      <c r="E16" s="311">
        <f t="shared" si="4"/>
        <v>1124</v>
      </c>
      <c r="F16" s="311">
        <f t="shared" si="4"/>
        <v>835</v>
      </c>
      <c r="G16" s="311">
        <f t="shared" si="4"/>
        <v>538</v>
      </c>
      <c r="H16" s="311">
        <f t="shared" si="4"/>
        <v>288</v>
      </c>
      <c r="I16" s="494">
        <f t="shared" si="4"/>
        <v>180</v>
      </c>
      <c r="J16" s="447">
        <f>J156</f>
        <v>328</v>
      </c>
      <c r="K16" s="311">
        <f t="shared" si="4"/>
        <v>381</v>
      </c>
      <c r="L16" s="311">
        <f t="shared" si="4"/>
        <v>550</v>
      </c>
      <c r="M16" s="311">
        <f t="shared" si="4"/>
        <v>600</v>
      </c>
      <c r="N16" s="311">
        <f t="shared" si="4"/>
        <v>600</v>
      </c>
      <c r="O16" s="311">
        <f t="shared" si="4"/>
        <v>600</v>
      </c>
      <c r="P16" s="311">
        <f t="shared" si="4"/>
        <v>600</v>
      </c>
      <c r="Q16" s="311">
        <f t="shared" si="4"/>
        <v>600</v>
      </c>
      <c r="R16" s="311">
        <f t="shared" si="4"/>
        <v>600</v>
      </c>
      <c r="S16" s="311">
        <f t="shared" si="4"/>
        <v>625</v>
      </c>
      <c r="T16" s="311">
        <f t="shared" si="4"/>
        <v>650</v>
      </c>
    </row>
    <row r="17" spans="1:24" s="303" customFormat="1" ht="17.25" customHeight="1">
      <c r="A17" s="306"/>
      <c r="B17" s="319" t="s">
        <v>779</v>
      </c>
      <c r="C17" s="310" t="s">
        <v>94</v>
      </c>
      <c r="D17" s="311">
        <f>D148+D157</f>
        <v>3423</v>
      </c>
      <c r="E17" s="311">
        <f t="shared" ref="E17:T17" si="5">E148+E157</f>
        <v>3090</v>
      </c>
      <c r="F17" s="311">
        <f t="shared" si="5"/>
        <v>3029</v>
      </c>
      <c r="G17" s="311">
        <f t="shared" si="5"/>
        <v>1887</v>
      </c>
      <c r="H17" s="311">
        <f t="shared" si="5"/>
        <v>1632</v>
      </c>
      <c r="I17" s="494">
        <f t="shared" si="5"/>
        <v>2012</v>
      </c>
      <c r="J17" s="447">
        <f>J148+J157</f>
        <v>2018</v>
      </c>
      <c r="K17" s="311">
        <f t="shared" si="5"/>
        <v>2100</v>
      </c>
      <c r="L17" s="311">
        <f t="shared" si="5"/>
        <v>2220</v>
      </c>
      <c r="M17" s="311">
        <f t="shared" si="5"/>
        <v>2100</v>
      </c>
      <c r="N17" s="311">
        <f t="shared" si="5"/>
        <v>2220</v>
      </c>
      <c r="O17" s="311">
        <f t="shared" si="5"/>
        <v>2100</v>
      </c>
      <c r="P17" s="311">
        <f t="shared" si="5"/>
        <v>2220</v>
      </c>
      <c r="Q17" s="311">
        <f t="shared" si="5"/>
        <v>2100</v>
      </c>
      <c r="R17" s="311">
        <f t="shared" si="5"/>
        <v>2220</v>
      </c>
      <c r="S17" s="311">
        <f t="shared" si="5"/>
        <v>2100</v>
      </c>
      <c r="T17" s="311">
        <f t="shared" si="5"/>
        <v>2220</v>
      </c>
    </row>
    <row r="18" spans="1:24" s="303" customFormat="1" ht="17.25" customHeight="1">
      <c r="A18" s="314" t="s">
        <v>780</v>
      </c>
      <c r="B18" s="315" t="s">
        <v>781</v>
      </c>
      <c r="C18" s="310" t="s">
        <v>94</v>
      </c>
      <c r="D18" s="360">
        <f>D131+D139+D149+D158</f>
        <v>2654</v>
      </c>
      <c r="E18" s="360">
        <f t="shared" ref="E18:T18" si="6">E131+E139+E149+E158</f>
        <v>3414</v>
      </c>
      <c r="F18" s="360">
        <f t="shared" si="6"/>
        <v>3060</v>
      </c>
      <c r="G18" s="360">
        <f t="shared" si="6"/>
        <v>2380</v>
      </c>
      <c r="H18" s="360">
        <f t="shared" si="6"/>
        <v>2797</v>
      </c>
      <c r="I18" s="501">
        <f t="shared" si="6"/>
        <v>1862</v>
      </c>
      <c r="J18" s="360">
        <f t="shared" si="6"/>
        <v>1933</v>
      </c>
      <c r="K18" s="360">
        <f t="shared" si="6"/>
        <v>1966</v>
      </c>
      <c r="L18" s="360">
        <f t="shared" si="6"/>
        <v>2366</v>
      </c>
      <c r="M18" s="360">
        <f t="shared" si="6"/>
        <v>2416</v>
      </c>
      <c r="N18" s="360">
        <f t="shared" si="6"/>
        <v>2410</v>
      </c>
      <c r="O18" s="360">
        <f t="shared" si="6"/>
        <v>2410</v>
      </c>
      <c r="P18" s="360">
        <f t="shared" si="6"/>
        <v>2460</v>
      </c>
      <c r="Q18" s="360">
        <f t="shared" si="6"/>
        <v>2260</v>
      </c>
      <c r="R18" s="360">
        <f t="shared" si="6"/>
        <v>1860</v>
      </c>
      <c r="S18" s="360">
        <f t="shared" si="6"/>
        <v>1970</v>
      </c>
      <c r="T18" s="360">
        <f t="shared" si="6"/>
        <v>2000</v>
      </c>
      <c r="U18" s="320"/>
      <c r="V18" s="320"/>
      <c r="W18" s="320"/>
      <c r="X18" s="320"/>
    </row>
    <row r="19" spans="1:24" s="303" customFormat="1" ht="17.25" customHeight="1">
      <c r="A19" s="306"/>
      <c r="B19" s="321" t="s">
        <v>782</v>
      </c>
      <c r="C19" s="310" t="s">
        <v>94</v>
      </c>
      <c r="D19" s="311">
        <f>D132+D140+D150</f>
        <v>1963</v>
      </c>
      <c r="E19" s="311">
        <f t="shared" ref="E19:T19" si="7">E132+E140+E150</f>
        <v>2814</v>
      </c>
      <c r="F19" s="311">
        <f t="shared" si="7"/>
        <v>2863</v>
      </c>
      <c r="G19" s="311">
        <f t="shared" si="7"/>
        <v>2211</v>
      </c>
      <c r="H19" s="311">
        <f t="shared" si="7"/>
        <v>2158</v>
      </c>
      <c r="I19" s="494">
        <f t="shared" si="7"/>
        <v>1454</v>
      </c>
      <c r="J19" s="311">
        <f t="shared" si="7"/>
        <v>1511</v>
      </c>
      <c r="K19" s="311">
        <f t="shared" si="7"/>
        <v>1316</v>
      </c>
      <c r="L19" s="311">
        <f t="shared" si="7"/>
        <v>1516</v>
      </c>
      <c r="M19" s="311">
        <f t="shared" si="7"/>
        <v>1516</v>
      </c>
      <c r="N19" s="311">
        <f t="shared" si="7"/>
        <v>1510</v>
      </c>
      <c r="O19" s="311">
        <f t="shared" si="7"/>
        <v>1510</v>
      </c>
      <c r="P19" s="311">
        <f t="shared" si="7"/>
        <v>1560</v>
      </c>
      <c r="Q19" s="311">
        <f t="shared" si="7"/>
        <v>1560</v>
      </c>
      <c r="R19" s="311">
        <f t="shared" si="7"/>
        <v>1560</v>
      </c>
      <c r="S19" s="311">
        <f t="shared" si="7"/>
        <v>1670</v>
      </c>
      <c r="T19" s="311">
        <f t="shared" si="7"/>
        <v>1700</v>
      </c>
      <c r="U19" s="320"/>
      <c r="V19" s="320"/>
      <c r="W19" s="320"/>
      <c r="X19" s="320"/>
    </row>
    <row r="20" spans="1:24" s="303" customFormat="1" ht="17.25" customHeight="1">
      <c r="A20" s="306"/>
      <c r="B20" s="317" t="s">
        <v>775</v>
      </c>
      <c r="C20" s="310" t="s">
        <v>94</v>
      </c>
      <c r="D20" s="311">
        <f>D133+D141+D151+D159</f>
        <v>442</v>
      </c>
      <c r="E20" s="311">
        <f t="shared" ref="E20:T21" si="8">E133+E141+E151+E159</f>
        <v>433</v>
      </c>
      <c r="F20" s="311">
        <f t="shared" si="8"/>
        <v>48</v>
      </c>
      <c r="G20" s="311">
        <f t="shared" si="8"/>
        <v>0</v>
      </c>
      <c r="H20" s="311">
        <f t="shared" si="8"/>
        <v>0</v>
      </c>
      <c r="I20" s="494">
        <f t="shared" si="8"/>
        <v>0</v>
      </c>
      <c r="J20" s="311">
        <f t="shared" si="8"/>
        <v>0</v>
      </c>
      <c r="K20" s="311">
        <f t="shared" si="8"/>
        <v>200</v>
      </c>
      <c r="L20" s="311">
        <f t="shared" si="8"/>
        <v>400</v>
      </c>
      <c r="M20" s="311">
        <f t="shared" si="8"/>
        <v>450</v>
      </c>
      <c r="N20" s="311">
        <f t="shared" si="8"/>
        <v>450</v>
      </c>
      <c r="O20" s="311">
        <f t="shared" si="8"/>
        <v>450</v>
      </c>
      <c r="P20" s="311">
        <f t="shared" si="8"/>
        <v>450</v>
      </c>
      <c r="Q20" s="311">
        <f t="shared" si="8"/>
        <v>250</v>
      </c>
      <c r="R20" s="311">
        <f t="shared" si="8"/>
        <v>0</v>
      </c>
      <c r="S20" s="311">
        <f t="shared" si="8"/>
        <v>0</v>
      </c>
      <c r="T20" s="311">
        <f t="shared" si="8"/>
        <v>0</v>
      </c>
      <c r="U20" s="320"/>
      <c r="V20" s="320"/>
      <c r="W20" s="320"/>
      <c r="X20" s="320"/>
    </row>
    <row r="21" spans="1:24" s="303" customFormat="1" ht="17.25" customHeight="1">
      <c r="A21" s="306"/>
      <c r="B21" s="318" t="s">
        <v>776</v>
      </c>
      <c r="C21" s="310" t="s">
        <v>94</v>
      </c>
      <c r="D21" s="311">
        <f>D134+D142+D152+D160</f>
        <v>249</v>
      </c>
      <c r="E21" s="311">
        <f t="shared" si="8"/>
        <v>167</v>
      </c>
      <c r="F21" s="311">
        <f t="shared" si="8"/>
        <v>149</v>
      </c>
      <c r="G21" s="311">
        <f t="shared" si="8"/>
        <v>169</v>
      </c>
      <c r="H21" s="311">
        <f t="shared" si="8"/>
        <v>639</v>
      </c>
      <c r="I21" s="494">
        <f t="shared" si="8"/>
        <v>408</v>
      </c>
      <c r="J21" s="311">
        <f t="shared" si="8"/>
        <v>422</v>
      </c>
      <c r="K21" s="311">
        <f t="shared" si="8"/>
        <v>450</v>
      </c>
      <c r="L21" s="311">
        <f t="shared" si="8"/>
        <v>450</v>
      </c>
      <c r="M21" s="311">
        <f t="shared" si="8"/>
        <v>450</v>
      </c>
      <c r="N21" s="311">
        <f t="shared" si="8"/>
        <v>450</v>
      </c>
      <c r="O21" s="311">
        <f t="shared" si="8"/>
        <v>450</v>
      </c>
      <c r="P21" s="311">
        <f t="shared" si="8"/>
        <v>450</v>
      </c>
      <c r="Q21" s="311">
        <f t="shared" si="8"/>
        <v>450</v>
      </c>
      <c r="R21" s="311">
        <f t="shared" si="8"/>
        <v>300</v>
      </c>
      <c r="S21" s="311">
        <f t="shared" si="8"/>
        <v>300</v>
      </c>
      <c r="T21" s="311">
        <f t="shared" si="8"/>
        <v>300</v>
      </c>
      <c r="U21" s="320"/>
      <c r="V21" s="320"/>
      <c r="W21" s="320"/>
      <c r="X21" s="320"/>
    </row>
    <row r="22" spans="1:24" s="303" customFormat="1" ht="17.25" customHeight="1">
      <c r="A22" s="314" t="s">
        <v>783</v>
      </c>
      <c r="B22" s="322" t="s">
        <v>784</v>
      </c>
      <c r="C22" s="310" t="s">
        <v>94</v>
      </c>
      <c r="D22" s="360">
        <f>D143</f>
        <v>40</v>
      </c>
      <c r="E22" s="360">
        <f t="shared" ref="E22:T22" si="9">E143</f>
        <v>120</v>
      </c>
      <c r="F22" s="360">
        <f t="shared" si="9"/>
        <v>308</v>
      </c>
      <c r="G22" s="360">
        <f t="shared" si="9"/>
        <v>151</v>
      </c>
      <c r="H22" s="360">
        <f t="shared" si="9"/>
        <v>439</v>
      </c>
      <c r="I22" s="501">
        <f t="shared" si="9"/>
        <v>0</v>
      </c>
      <c r="J22" s="360">
        <f t="shared" si="9"/>
        <v>400</v>
      </c>
      <c r="K22" s="360">
        <f t="shared" si="9"/>
        <v>400</v>
      </c>
      <c r="L22" s="360">
        <f t="shared" si="9"/>
        <v>400</v>
      </c>
      <c r="M22" s="360">
        <f t="shared" si="9"/>
        <v>400</v>
      </c>
      <c r="N22" s="360">
        <f t="shared" si="9"/>
        <v>400</v>
      </c>
      <c r="O22" s="360">
        <f t="shared" si="9"/>
        <v>400</v>
      </c>
      <c r="P22" s="360">
        <f t="shared" si="9"/>
        <v>400</v>
      </c>
      <c r="Q22" s="360">
        <f t="shared" si="9"/>
        <v>400</v>
      </c>
      <c r="R22" s="360">
        <f t="shared" si="9"/>
        <v>400</v>
      </c>
      <c r="S22" s="360">
        <f t="shared" si="9"/>
        <v>400</v>
      </c>
      <c r="T22" s="360">
        <f t="shared" si="9"/>
        <v>400</v>
      </c>
      <c r="U22" s="320"/>
      <c r="V22" s="320"/>
      <c r="W22" s="320"/>
      <c r="X22" s="320"/>
    </row>
    <row r="23" spans="1:24" s="325" customFormat="1" ht="17.25" customHeight="1">
      <c r="A23" s="323" t="s">
        <v>458</v>
      </c>
      <c r="B23" s="313" t="s">
        <v>785</v>
      </c>
      <c r="C23" s="306"/>
      <c r="D23" s="487">
        <f>D162+D212+D249+D278</f>
        <v>501</v>
      </c>
      <c r="E23" s="487">
        <f t="shared" ref="E23:T24" si="10">E162+E212+E249+E278</f>
        <v>509</v>
      </c>
      <c r="F23" s="487">
        <f t="shared" si="10"/>
        <v>532</v>
      </c>
      <c r="G23" s="487">
        <f t="shared" si="10"/>
        <v>540</v>
      </c>
      <c r="H23" s="487">
        <f t="shared" si="10"/>
        <v>534</v>
      </c>
      <c r="I23" s="502">
        <f t="shared" si="10"/>
        <v>520</v>
      </c>
      <c r="J23" s="487">
        <f t="shared" si="10"/>
        <v>540</v>
      </c>
      <c r="K23" s="487">
        <f t="shared" si="10"/>
        <v>533</v>
      </c>
      <c r="L23" s="487">
        <f t="shared" si="10"/>
        <v>544</v>
      </c>
      <c r="M23" s="487">
        <f t="shared" si="10"/>
        <v>558</v>
      </c>
      <c r="N23" s="487">
        <f t="shared" si="10"/>
        <v>573</v>
      </c>
      <c r="O23" s="487">
        <f t="shared" si="10"/>
        <v>573</v>
      </c>
      <c r="P23" s="487">
        <f t="shared" si="10"/>
        <v>590</v>
      </c>
      <c r="Q23" s="487">
        <f t="shared" si="10"/>
        <v>610</v>
      </c>
      <c r="R23" s="487">
        <f t="shared" si="10"/>
        <v>645</v>
      </c>
      <c r="S23" s="487">
        <f t="shared" si="10"/>
        <v>669</v>
      </c>
      <c r="T23" s="487">
        <f t="shared" si="10"/>
        <v>745</v>
      </c>
      <c r="U23" s="324"/>
      <c r="V23" s="324"/>
      <c r="W23" s="324"/>
      <c r="X23" s="324"/>
    </row>
    <row r="24" spans="1:24" s="303" customFormat="1" ht="17.25" customHeight="1">
      <c r="A24" s="306"/>
      <c r="B24" s="326" t="s">
        <v>758</v>
      </c>
      <c r="C24" s="310" t="s">
        <v>94</v>
      </c>
      <c r="D24" s="487">
        <f>D163+D213+D250+D279</f>
        <v>65</v>
      </c>
      <c r="E24" s="487">
        <f t="shared" si="10"/>
        <v>70</v>
      </c>
      <c r="F24" s="487">
        <f t="shared" si="10"/>
        <v>73</v>
      </c>
      <c r="G24" s="487">
        <f t="shared" si="10"/>
        <v>77</v>
      </c>
      <c r="H24" s="487">
        <f t="shared" si="10"/>
        <v>77</v>
      </c>
      <c r="I24" s="502">
        <f t="shared" si="10"/>
        <v>82</v>
      </c>
      <c r="J24" s="487">
        <f t="shared" si="10"/>
        <v>84</v>
      </c>
      <c r="K24" s="487">
        <f t="shared" si="10"/>
        <v>86</v>
      </c>
      <c r="L24" s="487">
        <f t="shared" si="10"/>
        <v>88</v>
      </c>
      <c r="M24" s="487">
        <f t="shared" si="10"/>
        <v>89</v>
      </c>
      <c r="N24" s="487">
        <f t="shared" si="10"/>
        <v>90</v>
      </c>
      <c r="O24" s="487">
        <f t="shared" si="10"/>
        <v>90</v>
      </c>
      <c r="P24" s="487">
        <f t="shared" si="10"/>
        <v>95</v>
      </c>
      <c r="Q24" s="487">
        <f t="shared" si="10"/>
        <v>95</v>
      </c>
      <c r="R24" s="487">
        <f t="shared" si="10"/>
        <v>100</v>
      </c>
      <c r="S24" s="487">
        <f t="shared" si="10"/>
        <v>110</v>
      </c>
      <c r="T24" s="487">
        <f t="shared" si="10"/>
        <v>130</v>
      </c>
      <c r="U24" s="320"/>
      <c r="V24" s="320"/>
      <c r="W24" s="320"/>
      <c r="X24" s="320"/>
    </row>
    <row r="25" spans="1:24" s="303" customFormat="1" ht="17.25" customHeight="1">
      <c r="A25" s="306"/>
      <c r="B25" s="308" t="s">
        <v>786</v>
      </c>
      <c r="C25" s="310" t="s">
        <v>94</v>
      </c>
      <c r="D25" s="311"/>
      <c r="E25" s="311"/>
      <c r="F25" s="311"/>
      <c r="G25" s="311"/>
      <c r="H25" s="311"/>
      <c r="I25" s="494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27"/>
      <c r="U25" s="320"/>
      <c r="V25" s="320"/>
      <c r="W25" s="320"/>
      <c r="X25" s="320"/>
    </row>
    <row r="26" spans="1:24" s="303" customFormat="1" ht="17.25" customHeight="1">
      <c r="A26" s="306"/>
      <c r="B26" s="328" t="s">
        <v>787</v>
      </c>
      <c r="C26" s="310" t="s">
        <v>94</v>
      </c>
      <c r="D26" s="447">
        <f>D170+D215+D252+D281</f>
        <v>0</v>
      </c>
      <c r="E26" s="447">
        <f>E170+E215+E252+E281</f>
        <v>0</v>
      </c>
      <c r="F26" s="447">
        <f>F170+F215+F252+F281</f>
        <v>0</v>
      </c>
      <c r="G26" s="447">
        <f t="shared" ref="G26:T27" si="11">G165+G215+G252+G281</f>
        <v>1</v>
      </c>
      <c r="H26" s="447">
        <f t="shared" si="11"/>
        <v>1</v>
      </c>
      <c r="I26" s="503">
        <f t="shared" si="11"/>
        <v>1</v>
      </c>
      <c r="J26" s="447">
        <f t="shared" si="11"/>
        <v>3</v>
      </c>
      <c r="K26" s="447">
        <f t="shared" si="11"/>
        <v>6</v>
      </c>
      <c r="L26" s="447">
        <f t="shared" si="11"/>
        <v>7</v>
      </c>
      <c r="M26" s="447">
        <f t="shared" si="11"/>
        <v>8</v>
      </c>
      <c r="N26" s="447">
        <f t="shared" si="11"/>
        <v>10</v>
      </c>
      <c r="O26" s="447">
        <f t="shared" si="11"/>
        <v>11</v>
      </c>
      <c r="P26" s="447">
        <f t="shared" si="11"/>
        <v>11</v>
      </c>
      <c r="Q26" s="447">
        <f t="shared" si="11"/>
        <v>11</v>
      </c>
      <c r="R26" s="447">
        <f t="shared" si="11"/>
        <v>11</v>
      </c>
      <c r="S26" s="447">
        <f t="shared" si="11"/>
        <v>12</v>
      </c>
      <c r="T26" s="447">
        <f t="shared" si="11"/>
        <v>17</v>
      </c>
      <c r="U26" s="320"/>
      <c r="V26" s="320"/>
      <c r="W26" s="320"/>
      <c r="X26" s="320"/>
    </row>
    <row r="27" spans="1:24" s="303" customFormat="1" ht="17.25" customHeight="1">
      <c r="A27" s="306"/>
      <c r="B27" s="308" t="s">
        <v>788</v>
      </c>
      <c r="C27" s="310" t="s">
        <v>94</v>
      </c>
      <c r="D27" s="447">
        <f>D166+D216+D253+D282</f>
        <v>19</v>
      </c>
      <c r="E27" s="447">
        <f>E166+E216+E253+E282</f>
        <v>18</v>
      </c>
      <c r="F27" s="447">
        <f>F166+F216+F253+F282</f>
        <v>24</v>
      </c>
      <c r="G27" s="447">
        <f t="shared" si="11"/>
        <v>38</v>
      </c>
      <c r="H27" s="447">
        <f t="shared" si="11"/>
        <v>48</v>
      </c>
      <c r="I27" s="503">
        <f t="shared" si="11"/>
        <v>50</v>
      </c>
      <c r="J27" s="447">
        <f t="shared" si="11"/>
        <v>49</v>
      </c>
      <c r="K27" s="447">
        <f t="shared" si="11"/>
        <v>48</v>
      </c>
      <c r="L27" s="447">
        <f t="shared" si="11"/>
        <v>46</v>
      </c>
      <c r="M27" s="447">
        <f t="shared" si="11"/>
        <v>47</v>
      </c>
      <c r="N27" s="447">
        <f t="shared" si="11"/>
        <v>50</v>
      </c>
      <c r="O27" s="447">
        <f t="shared" si="11"/>
        <v>49</v>
      </c>
      <c r="P27" s="447">
        <f t="shared" si="11"/>
        <v>54</v>
      </c>
      <c r="Q27" s="447">
        <f t="shared" si="11"/>
        <v>54</v>
      </c>
      <c r="R27" s="447">
        <f t="shared" si="11"/>
        <v>59</v>
      </c>
      <c r="S27" s="447">
        <f t="shared" si="11"/>
        <v>68</v>
      </c>
      <c r="T27" s="447">
        <f t="shared" si="11"/>
        <v>86</v>
      </c>
      <c r="U27" s="320"/>
      <c r="V27" s="320"/>
      <c r="W27" s="320"/>
      <c r="X27" s="320"/>
    </row>
    <row r="28" spans="1:24" s="303" customFormat="1" ht="17.25" customHeight="1">
      <c r="A28" s="306"/>
      <c r="B28" s="308" t="s">
        <v>789</v>
      </c>
      <c r="C28" s="310" t="s">
        <v>94</v>
      </c>
      <c r="D28" s="447">
        <f>D254</f>
        <v>5</v>
      </c>
      <c r="E28" s="447">
        <f t="shared" ref="E28:T28" si="12">E254</f>
        <v>6</v>
      </c>
      <c r="F28" s="447">
        <f t="shared" si="12"/>
        <v>6</v>
      </c>
      <c r="G28" s="447">
        <f>G254</f>
        <v>6</v>
      </c>
      <c r="H28" s="447">
        <f t="shared" si="12"/>
        <v>6</v>
      </c>
      <c r="I28" s="503">
        <f t="shared" si="12"/>
        <v>6</v>
      </c>
      <c r="J28" s="447">
        <f t="shared" si="12"/>
        <v>7</v>
      </c>
      <c r="K28" s="447">
        <f t="shared" si="12"/>
        <v>7</v>
      </c>
      <c r="L28" s="447">
        <f t="shared" si="12"/>
        <v>9</v>
      </c>
      <c r="M28" s="447">
        <f t="shared" si="12"/>
        <v>8</v>
      </c>
      <c r="N28" s="447">
        <f t="shared" si="12"/>
        <v>8</v>
      </c>
      <c r="O28" s="447">
        <f t="shared" si="12"/>
        <v>8</v>
      </c>
      <c r="P28" s="447">
        <f t="shared" si="12"/>
        <v>8</v>
      </c>
      <c r="Q28" s="447">
        <f t="shared" si="12"/>
        <v>9</v>
      </c>
      <c r="R28" s="447">
        <f t="shared" si="12"/>
        <v>9</v>
      </c>
      <c r="S28" s="447">
        <f t="shared" si="12"/>
        <v>9</v>
      </c>
      <c r="T28" s="447">
        <f t="shared" si="12"/>
        <v>9</v>
      </c>
      <c r="U28" s="320"/>
      <c r="V28" s="320"/>
      <c r="W28" s="320"/>
      <c r="X28" s="320"/>
    </row>
    <row r="29" spans="1:24" s="303" customFormat="1" ht="17.25" customHeight="1">
      <c r="A29" s="306"/>
      <c r="B29" s="328" t="s">
        <v>135</v>
      </c>
      <c r="C29" s="310" t="s">
        <v>94</v>
      </c>
      <c r="D29" s="447">
        <f t="shared" ref="D29:T30" si="13">D167+D217+D255+D283</f>
        <v>41</v>
      </c>
      <c r="E29" s="447">
        <f t="shared" si="13"/>
        <v>46</v>
      </c>
      <c r="F29" s="447">
        <f t="shared" si="13"/>
        <v>43</v>
      </c>
      <c r="G29" s="447">
        <f t="shared" si="13"/>
        <v>32</v>
      </c>
      <c r="H29" s="447">
        <f t="shared" si="13"/>
        <v>22</v>
      </c>
      <c r="I29" s="503">
        <f t="shared" si="13"/>
        <v>25</v>
      </c>
      <c r="J29" s="447">
        <f t="shared" si="13"/>
        <v>25</v>
      </c>
      <c r="K29" s="447">
        <f t="shared" si="13"/>
        <v>25</v>
      </c>
      <c r="L29" s="447">
        <f t="shared" si="13"/>
        <v>26</v>
      </c>
      <c r="M29" s="447">
        <f t="shared" si="13"/>
        <v>26</v>
      </c>
      <c r="N29" s="447">
        <f t="shared" si="13"/>
        <v>22</v>
      </c>
      <c r="O29" s="447">
        <f t="shared" si="13"/>
        <v>22</v>
      </c>
      <c r="P29" s="447">
        <f t="shared" si="13"/>
        <v>22</v>
      </c>
      <c r="Q29" s="447">
        <f t="shared" si="13"/>
        <v>21</v>
      </c>
      <c r="R29" s="447">
        <f t="shared" si="13"/>
        <v>21</v>
      </c>
      <c r="S29" s="447">
        <f t="shared" si="13"/>
        <v>21</v>
      </c>
      <c r="T29" s="447">
        <f t="shared" si="13"/>
        <v>18</v>
      </c>
      <c r="U29" s="320"/>
      <c r="V29" s="320"/>
      <c r="W29" s="320"/>
      <c r="X29" s="320"/>
    </row>
    <row r="30" spans="1:24" s="303" customFormat="1" ht="17.25" customHeight="1">
      <c r="A30" s="306"/>
      <c r="B30" s="329" t="s">
        <v>790</v>
      </c>
      <c r="C30" s="310" t="s">
        <v>94</v>
      </c>
      <c r="D30" s="311"/>
      <c r="E30" s="311">
        <f t="shared" si="13"/>
        <v>338</v>
      </c>
      <c r="F30" s="311">
        <f t="shared" si="13"/>
        <v>356</v>
      </c>
      <c r="G30" s="311">
        <f t="shared" si="13"/>
        <v>349</v>
      </c>
      <c r="H30" s="311">
        <f t="shared" si="13"/>
        <v>350</v>
      </c>
      <c r="I30" s="494">
        <f t="shared" si="13"/>
        <v>342</v>
      </c>
      <c r="J30" s="311">
        <f t="shared" si="13"/>
        <v>350</v>
      </c>
      <c r="K30" s="311">
        <f t="shared" si="13"/>
        <v>349</v>
      </c>
      <c r="L30" s="311">
        <f t="shared" si="13"/>
        <v>356</v>
      </c>
      <c r="M30" s="311">
        <f t="shared" si="13"/>
        <v>369</v>
      </c>
      <c r="N30" s="311">
        <f t="shared" si="13"/>
        <v>379</v>
      </c>
      <c r="O30" s="311">
        <f t="shared" si="13"/>
        <v>379</v>
      </c>
      <c r="P30" s="311">
        <f t="shared" si="13"/>
        <v>391</v>
      </c>
      <c r="Q30" s="311">
        <f t="shared" si="13"/>
        <v>407</v>
      </c>
      <c r="R30" s="311">
        <f t="shared" si="13"/>
        <v>434</v>
      </c>
      <c r="S30" s="311">
        <f t="shared" si="13"/>
        <v>443</v>
      </c>
      <c r="T30" s="311">
        <f t="shared" si="13"/>
        <v>496</v>
      </c>
      <c r="U30" s="320"/>
      <c r="V30" s="320"/>
      <c r="W30" s="320"/>
      <c r="X30" s="320"/>
    </row>
    <row r="31" spans="1:24" s="303" customFormat="1" ht="17.25" customHeight="1">
      <c r="A31" s="306"/>
      <c r="B31" s="330" t="s">
        <v>217</v>
      </c>
      <c r="C31" s="310" t="s">
        <v>94</v>
      </c>
      <c r="D31" s="360">
        <f>D168+D218+D256+D284</f>
        <v>325</v>
      </c>
      <c r="E31" s="360">
        <f t="shared" ref="E31:T31" si="14">E168+E218+E256+E284</f>
        <v>338</v>
      </c>
      <c r="F31" s="360">
        <f t="shared" si="14"/>
        <v>356</v>
      </c>
      <c r="G31" s="360">
        <f t="shared" si="14"/>
        <v>349</v>
      </c>
      <c r="H31" s="360">
        <f t="shared" si="14"/>
        <v>350</v>
      </c>
      <c r="I31" s="501">
        <f t="shared" si="14"/>
        <v>342</v>
      </c>
      <c r="J31" s="360">
        <f t="shared" si="14"/>
        <v>350</v>
      </c>
      <c r="K31" s="360">
        <f t="shared" si="14"/>
        <v>349</v>
      </c>
      <c r="L31" s="360">
        <f t="shared" si="14"/>
        <v>356</v>
      </c>
      <c r="M31" s="360">
        <f t="shared" si="14"/>
        <v>369</v>
      </c>
      <c r="N31" s="360">
        <f t="shared" si="14"/>
        <v>379</v>
      </c>
      <c r="O31" s="360">
        <f t="shared" si="14"/>
        <v>379</v>
      </c>
      <c r="P31" s="360">
        <f t="shared" si="14"/>
        <v>391</v>
      </c>
      <c r="Q31" s="360">
        <f t="shared" si="14"/>
        <v>407</v>
      </c>
      <c r="R31" s="360">
        <f t="shared" si="14"/>
        <v>434</v>
      </c>
      <c r="S31" s="360">
        <f t="shared" si="14"/>
        <v>443</v>
      </c>
      <c r="T31" s="360">
        <f t="shared" si="14"/>
        <v>496</v>
      </c>
      <c r="U31" s="320"/>
      <c r="V31" s="320"/>
      <c r="W31" s="320"/>
      <c r="X31" s="320"/>
    </row>
    <row r="32" spans="1:24" s="303" customFormat="1" ht="17.25" customHeight="1">
      <c r="A32" s="306"/>
      <c r="B32" s="328" t="s">
        <v>787</v>
      </c>
      <c r="C32" s="310" t="s">
        <v>94</v>
      </c>
      <c r="D32" s="311">
        <f t="shared" ref="D32:T33" si="15">D170+D220+D258+D286</f>
        <v>0</v>
      </c>
      <c r="E32" s="311">
        <f t="shared" si="15"/>
        <v>0</v>
      </c>
      <c r="F32" s="311">
        <f t="shared" si="15"/>
        <v>0</v>
      </c>
      <c r="G32" s="311">
        <f t="shared" si="15"/>
        <v>2</v>
      </c>
      <c r="H32" s="311">
        <f t="shared" si="15"/>
        <v>1</v>
      </c>
      <c r="I32" s="494">
        <f t="shared" si="15"/>
        <v>1</v>
      </c>
      <c r="J32" s="311">
        <f t="shared" si="15"/>
        <v>3</v>
      </c>
      <c r="K32" s="311">
        <f t="shared" si="15"/>
        <v>5</v>
      </c>
      <c r="L32" s="311">
        <f t="shared" si="15"/>
        <v>6</v>
      </c>
      <c r="M32" s="311">
        <f t="shared" si="15"/>
        <v>7</v>
      </c>
      <c r="N32" s="311">
        <f t="shared" si="15"/>
        <v>11</v>
      </c>
      <c r="O32" s="311">
        <f t="shared" si="15"/>
        <v>14</v>
      </c>
      <c r="P32" s="311">
        <f t="shared" si="15"/>
        <v>16</v>
      </c>
      <c r="Q32" s="311">
        <f t="shared" si="15"/>
        <v>22</v>
      </c>
      <c r="R32" s="311">
        <f t="shared" si="15"/>
        <v>29</v>
      </c>
      <c r="S32" s="311">
        <f t="shared" si="15"/>
        <v>35</v>
      </c>
      <c r="T32" s="311">
        <f t="shared" si="15"/>
        <v>65</v>
      </c>
      <c r="U32" s="320"/>
      <c r="V32" s="320"/>
      <c r="W32" s="320"/>
      <c r="X32" s="320"/>
    </row>
    <row r="33" spans="1:24" s="303" customFormat="1" ht="17.25" customHeight="1">
      <c r="A33" s="306"/>
      <c r="B33" s="308" t="s">
        <v>788</v>
      </c>
      <c r="C33" s="310" t="s">
        <v>94</v>
      </c>
      <c r="D33" s="311">
        <f t="shared" si="15"/>
        <v>75</v>
      </c>
      <c r="E33" s="311">
        <f t="shared" si="15"/>
        <v>88</v>
      </c>
      <c r="F33" s="311">
        <f t="shared" si="15"/>
        <v>89</v>
      </c>
      <c r="G33" s="311">
        <f t="shared" si="15"/>
        <v>91</v>
      </c>
      <c r="H33" s="311">
        <f t="shared" si="15"/>
        <v>107</v>
      </c>
      <c r="I33" s="494">
        <f t="shared" si="15"/>
        <v>114</v>
      </c>
      <c r="J33" s="311">
        <f t="shared" si="15"/>
        <v>128</v>
      </c>
      <c r="K33" s="311">
        <f t="shared" si="15"/>
        <v>164</v>
      </c>
      <c r="L33" s="311">
        <f t="shared" si="15"/>
        <v>180</v>
      </c>
      <c r="M33" s="311">
        <f t="shared" si="15"/>
        <v>210</v>
      </c>
      <c r="N33" s="311">
        <f t="shared" si="15"/>
        <v>231</v>
      </c>
      <c r="O33" s="311">
        <f t="shared" si="15"/>
        <v>243</v>
      </c>
      <c r="P33" s="311">
        <f t="shared" si="15"/>
        <v>261</v>
      </c>
      <c r="Q33" s="311">
        <f t="shared" si="15"/>
        <v>274</v>
      </c>
      <c r="R33" s="311">
        <f t="shared" si="15"/>
        <v>290</v>
      </c>
      <c r="S33" s="311">
        <f t="shared" si="15"/>
        <v>293</v>
      </c>
      <c r="T33" s="311">
        <f t="shared" si="15"/>
        <v>318</v>
      </c>
      <c r="U33" s="320"/>
      <c r="V33" s="320"/>
      <c r="W33" s="320"/>
      <c r="X33" s="320"/>
    </row>
    <row r="34" spans="1:24" s="303" customFormat="1" ht="17.25" customHeight="1">
      <c r="A34" s="306"/>
      <c r="B34" s="308" t="s">
        <v>789</v>
      </c>
      <c r="C34" s="310" t="s">
        <v>94</v>
      </c>
      <c r="D34" s="311">
        <f>D260</f>
        <v>0</v>
      </c>
      <c r="E34" s="311">
        <f t="shared" ref="E34:T34" si="16">E260</f>
        <v>0</v>
      </c>
      <c r="F34" s="311">
        <f t="shared" si="16"/>
        <v>0</v>
      </c>
      <c r="G34" s="311">
        <f t="shared" si="16"/>
        <v>0</v>
      </c>
      <c r="H34" s="311">
        <f t="shared" si="16"/>
        <v>0</v>
      </c>
      <c r="I34" s="494">
        <f t="shared" si="16"/>
        <v>0</v>
      </c>
      <c r="J34" s="311">
        <f t="shared" si="16"/>
        <v>0</v>
      </c>
      <c r="K34" s="311">
        <f t="shared" si="16"/>
        <v>0</v>
      </c>
      <c r="L34" s="311">
        <f t="shared" si="16"/>
        <v>0</v>
      </c>
      <c r="M34" s="311">
        <f t="shared" si="16"/>
        <v>0</v>
      </c>
      <c r="N34" s="311">
        <f t="shared" si="16"/>
        <v>0</v>
      </c>
      <c r="O34" s="311">
        <f t="shared" si="16"/>
        <v>0</v>
      </c>
      <c r="P34" s="311">
        <f t="shared" si="16"/>
        <v>0</v>
      </c>
      <c r="Q34" s="311">
        <f t="shared" si="16"/>
        <v>0</v>
      </c>
      <c r="R34" s="311">
        <f t="shared" si="16"/>
        <v>0</v>
      </c>
      <c r="S34" s="311">
        <f t="shared" si="16"/>
        <v>0</v>
      </c>
      <c r="T34" s="311">
        <f t="shared" si="16"/>
        <v>0</v>
      </c>
      <c r="U34" s="320"/>
      <c r="V34" s="320"/>
      <c r="W34" s="320"/>
      <c r="X34" s="320"/>
    </row>
    <row r="35" spans="1:24" s="303" customFormat="1" ht="17.25" customHeight="1">
      <c r="A35" s="306"/>
      <c r="B35" s="328" t="s">
        <v>135</v>
      </c>
      <c r="C35" s="310" t="s">
        <v>94</v>
      </c>
      <c r="D35" s="311">
        <f t="shared" ref="D35:T37" si="17">D172+D222+D261+D288</f>
        <v>197</v>
      </c>
      <c r="E35" s="311">
        <f t="shared" si="17"/>
        <v>198</v>
      </c>
      <c r="F35" s="311">
        <f t="shared" si="17"/>
        <v>230</v>
      </c>
      <c r="G35" s="311">
        <f t="shared" si="17"/>
        <v>226</v>
      </c>
      <c r="H35" s="311">
        <f t="shared" si="17"/>
        <v>213</v>
      </c>
      <c r="I35" s="494">
        <f t="shared" si="17"/>
        <v>207</v>
      </c>
      <c r="J35" s="311">
        <f t="shared" si="17"/>
        <v>132</v>
      </c>
      <c r="K35" s="311">
        <f t="shared" si="17"/>
        <v>158</v>
      </c>
      <c r="L35" s="311">
        <f t="shared" si="17"/>
        <v>146</v>
      </c>
      <c r="M35" s="311">
        <f t="shared" si="17"/>
        <v>132</v>
      </c>
      <c r="N35" s="311">
        <f t="shared" si="17"/>
        <v>117</v>
      </c>
      <c r="O35" s="311">
        <f t="shared" si="17"/>
        <v>102</v>
      </c>
      <c r="P35" s="311">
        <f t="shared" si="17"/>
        <v>94</v>
      </c>
      <c r="Q35" s="311">
        <f t="shared" si="17"/>
        <v>91</v>
      </c>
      <c r="R35" s="311">
        <f t="shared" si="17"/>
        <v>92</v>
      </c>
      <c r="S35" s="311">
        <f t="shared" si="17"/>
        <v>95</v>
      </c>
      <c r="T35" s="311">
        <f t="shared" si="17"/>
        <v>93</v>
      </c>
      <c r="U35" s="320"/>
      <c r="V35" s="320"/>
      <c r="W35" s="320"/>
      <c r="X35" s="320"/>
    </row>
    <row r="36" spans="1:24" s="303" customFormat="1" ht="17.25" customHeight="1">
      <c r="A36" s="306"/>
      <c r="B36" s="328" t="s">
        <v>136</v>
      </c>
      <c r="C36" s="310" t="s">
        <v>94</v>
      </c>
      <c r="D36" s="311">
        <f t="shared" si="17"/>
        <v>17</v>
      </c>
      <c r="E36" s="311">
        <f t="shared" si="17"/>
        <v>17</v>
      </c>
      <c r="F36" s="311">
        <f t="shared" si="17"/>
        <v>7</v>
      </c>
      <c r="G36" s="311">
        <f t="shared" si="17"/>
        <v>4</v>
      </c>
      <c r="H36" s="311">
        <f t="shared" si="17"/>
        <v>4</v>
      </c>
      <c r="I36" s="494">
        <f t="shared" si="17"/>
        <v>2</v>
      </c>
      <c r="J36" s="311">
        <f t="shared" si="17"/>
        <v>0</v>
      </c>
      <c r="K36" s="311">
        <f t="shared" si="17"/>
        <v>1</v>
      </c>
      <c r="L36" s="311">
        <f t="shared" si="17"/>
        <v>1</v>
      </c>
      <c r="M36" s="311">
        <f t="shared" si="17"/>
        <v>0</v>
      </c>
      <c r="N36" s="311">
        <f t="shared" si="17"/>
        <v>0</v>
      </c>
      <c r="O36" s="311">
        <f t="shared" si="17"/>
        <v>0</v>
      </c>
      <c r="P36" s="311">
        <f t="shared" si="17"/>
        <v>0</v>
      </c>
      <c r="Q36" s="311">
        <f t="shared" si="17"/>
        <v>0</v>
      </c>
      <c r="R36" s="311">
        <f t="shared" si="17"/>
        <v>0</v>
      </c>
      <c r="S36" s="311">
        <f t="shared" si="17"/>
        <v>0</v>
      </c>
      <c r="T36" s="311">
        <f t="shared" si="17"/>
        <v>0</v>
      </c>
      <c r="U36" s="320"/>
      <c r="V36" s="320"/>
      <c r="W36" s="320"/>
      <c r="X36" s="320"/>
    </row>
    <row r="37" spans="1:24" s="303" customFormat="1" ht="17.25" customHeight="1">
      <c r="A37" s="306"/>
      <c r="B37" s="328" t="s">
        <v>137</v>
      </c>
      <c r="C37" s="310" t="s">
        <v>94</v>
      </c>
      <c r="D37" s="311">
        <f t="shared" si="17"/>
        <v>36</v>
      </c>
      <c r="E37" s="311">
        <f t="shared" si="17"/>
        <v>35</v>
      </c>
      <c r="F37" s="311">
        <f t="shared" si="17"/>
        <v>30</v>
      </c>
      <c r="G37" s="311">
        <f t="shared" si="17"/>
        <v>26</v>
      </c>
      <c r="H37" s="311">
        <f t="shared" si="17"/>
        <v>25</v>
      </c>
      <c r="I37" s="494">
        <f t="shared" si="17"/>
        <v>18</v>
      </c>
      <c r="J37" s="311">
        <f t="shared" si="17"/>
        <v>18</v>
      </c>
      <c r="K37" s="311">
        <f t="shared" si="17"/>
        <v>21</v>
      </c>
      <c r="L37" s="311">
        <f t="shared" si="17"/>
        <v>20</v>
      </c>
      <c r="M37" s="311">
        <f t="shared" si="17"/>
        <v>20</v>
      </c>
      <c r="N37" s="311">
        <f t="shared" si="17"/>
        <v>20</v>
      </c>
      <c r="O37" s="311">
        <f t="shared" si="17"/>
        <v>20</v>
      </c>
      <c r="P37" s="311">
        <f t="shared" si="17"/>
        <v>20</v>
      </c>
      <c r="Q37" s="311">
        <f t="shared" si="17"/>
        <v>20</v>
      </c>
      <c r="R37" s="311">
        <f t="shared" si="17"/>
        <v>20</v>
      </c>
      <c r="S37" s="311">
        <f t="shared" si="17"/>
        <v>20</v>
      </c>
      <c r="T37" s="311">
        <f t="shared" si="17"/>
        <v>20</v>
      </c>
      <c r="U37" s="320"/>
      <c r="V37" s="320"/>
      <c r="W37" s="320"/>
      <c r="X37" s="320"/>
    </row>
    <row r="38" spans="1:24" s="303" customFormat="1" ht="17.25" customHeight="1">
      <c r="A38" s="306"/>
      <c r="B38" s="331" t="s">
        <v>791</v>
      </c>
      <c r="C38" s="310"/>
      <c r="D38" s="447"/>
      <c r="E38" s="311"/>
      <c r="F38" s="311"/>
      <c r="G38" s="311"/>
      <c r="H38" s="311"/>
      <c r="I38" s="494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27"/>
      <c r="U38" s="320"/>
      <c r="V38" s="320"/>
      <c r="W38" s="320"/>
      <c r="X38" s="320"/>
    </row>
    <row r="39" spans="1:24" s="303" customFormat="1" ht="17.25" customHeight="1">
      <c r="A39" s="306"/>
      <c r="B39" s="332" t="s">
        <v>792</v>
      </c>
      <c r="C39" s="310"/>
      <c r="D39" s="311"/>
      <c r="E39" s="311"/>
      <c r="F39" s="311"/>
      <c r="G39" s="311"/>
      <c r="H39" s="311"/>
      <c r="I39" s="494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27"/>
      <c r="U39" s="320"/>
      <c r="V39" s="320"/>
      <c r="W39" s="320"/>
      <c r="X39" s="320"/>
    </row>
    <row r="40" spans="1:24" s="303" customFormat="1" ht="17.25" customHeight="1">
      <c r="A40" s="306"/>
      <c r="B40" s="333" t="s">
        <v>793</v>
      </c>
      <c r="C40" s="310" t="s">
        <v>94</v>
      </c>
      <c r="D40" s="488">
        <v>5</v>
      </c>
      <c r="E40" s="488">
        <v>5</v>
      </c>
      <c r="F40" s="488">
        <v>7</v>
      </c>
      <c r="G40" s="488">
        <v>6</v>
      </c>
      <c r="H40" s="488">
        <v>5</v>
      </c>
      <c r="I40" s="504">
        <v>5</v>
      </c>
      <c r="J40" s="488">
        <v>5</v>
      </c>
      <c r="K40" s="489">
        <v>5</v>
      </c>
      <c r="L40" s="489">
        <v>5</v>
      </c>
      <c r="M40" s="489">
        <v>5</v>
      </c>
      <c r="N40" s="489">
        <v>6</v>
      </c>
      <c r="O40" s="489">
        <v>6</v>
      </c>
      <c r="P40" s="489">
        <v>6</v>
      </c>
      <c r="Q40" s="489">
        <v>5</v>
      </c>
      <c r="R40" s="489">
        <v>5</v>
      </c>
      <c r="S40" s="489">
        <v>5</v>
      </c>
      <c r="T40" s="489">
        <v>5</v>
      </c>
      <c r="U40" s="320"/>
      <c r="V40" s="320"/>
      <c r="W40" s="320"/>
      <c r="X40" s="320"/>
    </row>
    <row r="41" spans="1:24" s="303" customFormat="1" ht="17.25" customHeight="1">
      <c r="A41" s="306"/>
      <c r="B41" s="333" t="s">
        <v>794</v>
      </c>
      <c r="C41" s="310" t="s">
        <v>94</v>
      </c>
      <c r="D41" s="488">
        <v>20</v>
      </c>
      <c r="E41" s="488">
        <v>20</v>
      </c>
      <c r="F41" s="488">
        <v>19</v>
      </c>
      <c r="G41" s="488">
        <v>18</v>
      </c>
      <c r="H41" s="488">
        <v>18</v>
      </c>
      <c r="I41" s="504">
        <v>18</v>
      </c>
      <c r="J41" s="488">
        <v>18</v>
      </c>
      <c r="K41" s="489">
        <v>18</v>
      </c>
      <c r="L41" s="489">
        <v>18</v>
      </c>
      <c r="M41" s="489">
        <v>18</v>
      </c>
      <c r="N41" s="489">
        <v>18</v>
      </c>
      <c r="O41" s="489">
        <v>18</v>
      </c>
      <c r="P41" s="489">
        <v>18</v>
      </c>
      <c r="Q41" s="489">
        <v>18</v>
      </c>
      <c r="R41" s="489">
        <v>18</v>
      </c>
      <c r="S41" s="489">
        <v>18</v>
      </c>
      <c r="T41" s="489">
        <v>18</v>
      </c>
      <c r="U41" s="320"/>
      <c r="V41" s="320"/>
      <c r="W41" s="320"/>
      <c r="X41" s="320"/>
    </row>
    <row r="42" spans="1:24" s="303" customFormat="1" ht="17.25" customHeight="1">
      <c r="A42" s="306"/>
      <c r="B42" s="333" t="s">
        <v>795</v>
      </c>
      <c r="C42" s="310" t="s">
        <v>94</v>
      </c>
      <c r="D42" s="488">
        <v>4</v>
      </c>
      <c r="E42" s="488">
        <v>4</v>
      </c>
      <c r="F42" s="488">
        <v>4</v>
      </c>
      <c r="G42" s="488">
        <v>4</v>
      </c>
      <c r="H42" s="488">
        <v>4</v>
      </c>
      <c r="I42" s="504">
        <v>4</v>
      </c>
      <c r="J42" s="488">
        <v>4</v>
      </c>
      <c r="K42" s="489">
        <v>4</v>
      </c>
      <c r="L42" s="489">
        <v>6</v>
      </c>
      <c r="M42" s="489">
        <v>6</v>
      </c>
      <c r="N42" s="489">
        <v>6</v>
      </c>
      <c r="O42" s="489">
        <v>6</v>
      </c>
      <c r="P42" s="489">
        <v>6</v>
      </c>
      <c r="Q42" s="489">
        <v>5</v>
      </c>
      <c r="R42" s="489">
        <v>6</v>
      </c>
      <c r="S42" s="489">
        <v>6</v>
      </c>
      <c r="T42" s="489">
        <v>6</v>
      </c>
      <c r="U42" s="320"/>
      <c r="V42" s="320"/>
      <c r="W42" s="320"/>
      <c r="X42" s="320"/>
    </row>
    <row r="43" spans="1:24" s="303" customFormat="1" ht="17.25" customHeight="1">
      <c r="A43" s="306"/>
      <c r="B43" s="333" t="s">
        <v>796</v>
      </c>
      <c r="C43" s="310" t="s">
        <v>94</v>
      </c>
      <c r="D43" s="488">
        <v>5</v>
      </c>
      <c r="E43" s="488">
        <v>5</v>
      </c>
      <c r="F43" s="488">
        <v>4</v>
      </c>
      <c r="G43" s="488">
        <v>6</v>
      </c>
      <c r="H43" s="488">
        <v>6</v>
      </c>
      <c r="I43" s="504">
        <v>6</v>
      </c>
      <c r="J43" s="488">
        <v>6</v>
      </c>
      <c r="K43" s="489">
        <v>6</v>
      </c>
      <c r="L43" s="489">
        <v>6</v>
      </c>
      <c r="M43" s="489">
        <v>6</v>
      </c>
      <c r="N43" s="489">
        <v>6</v>
      </c>
      <c r="O43" s="489">
        <v>6</v>
      </c>
      <c r="P43" s="489">
        <v>6</v>
      </c>
      <c r="Q43" s="489">
        <v>6</v>
      </c>
      <c r="R43" s="489">
        <v>6</v>
      </c>
      <c r="S43" s="489">
        <v>6</v>
      </c>
      <c r="T43" s="489">
        <v>6</v>
      </c>
      <c r="U43" s="320"/>
      <c r="V43" s="320"/>
      <c r="W43" s="320"/>
      <c r="X43" s="320"/>
    </row>
    <row r="44" spans="1:24" s="303" customFormat="1" ht="17.25" customHeight="1">
      <c r="A44" s="306"/>
      <c r="B44" s="333" t="s">
        <v>797</v>
      </c>
      <c r="C44" s="310" t="s">
        <v>94</v>
      </c>
      <c r="D44" s="488">
        <v>15</v>
      </c>
      <c r="E44" s="488">
        <v>15</v>
      </c>
      <c r="F44" s="488">
        <v>15</v>
      </c>
      <c r="G44" s="488">
        <v>16</v>
      </c>
      <c r="H44" s="488">
        <v>14</v>
      </c>
      <c r="I44" s="504">
        <v>14</v>
      </c>
      <c r="J44" s="488">
        <v>14</v>
      </c>
      <c r="K44" s="489">
        <v>13</v>
      </c>
      <c r="L44" s="489">
        <v>13</v>
      </c>
      <c r="M44" s="489">
        <v>13</v>
      </c>
      <c r="N44" s="489">
        <v>13</v>
      </c>
      <c r="O44" s="489">
        <v>13</v>
      </c>
      <c r="P44" s="489">
        <v>13</v>
      </c>
      <c r="Q44" s="489">
        <v>13</v>
      </c>
      <c r="R44" s="489">
        <v>13</v>
      </c>
      <c r="S44" s="489">
        <v>13</v>
      </c>
      <c r="T44" s="489">
        <v>13</v>
      </c>
      <c r="U44" s="320"/>
      <c r="V44" s="320"/>
      <c r="W44" s="320"/>
      <c r="X44" s="320"/>
    </row>
    <row r="45" spans="1:24" s="303" customFormat="1" ht="17.25" customHeight="1">
      <c r="A45" s="306"/>
      <c r="B45" s="333" t="s">
        <v>798</v>
      </c>
      <c r="C45" s="310" t="s">
        <v>94</v>
      </c>
      <c r="D45" s="488">
        <v>6</v>
      </c>
      <c r="E45" s="488">
        <v>6</v>
      </c>
      <c r="F45" s="488">
        <v>6</v>
      </c>
      <c r="G45" s="488">
        <v>5</v>
      </c>
      <c r="H45" s="488">
        <v>5</v>
      </c>
      <c r="I45" s="504">
        <v>5</v>
      </c>
      <c r="J45" s="488">
        <v>5</v>
      </c>
      <c r="K45" s="489">
        <v>5</v>
      </c>
      <c r="L45" s="489">
        <v>6</v>
      </c>
      <c r="M45" s="489">
        <v>6</v>
      </c>
      <c r="N45" s="489">
        <v>6</v>
      </c>
      <c r="O45" s="489">
        <v>6</v>
      </c>
      <c r="P45" s="489">
        <v>5</v>
      </c>
      <c r="Q45" s="489">
        <v>5</v>
      </c>
      <c r="R45" s="489">
        <v>6</v>
      </c>
      <c r="S45" s="489">
        <v>6</v>
      </c>
      <c r="T45" s="489">
        <v>6</v>
      </c>
      <c r="U45" s="320"/>
      <c r="V45" s="320"/>
      <c r="W45" s="320"/>
      <c r="X45" s="320"/>
    </row>
    <row r="46" spans="1:24" s="303" customFormat="1" ht="17.25" customHeight="1">
      <c r="A46" s="306"/>
      <c r="B46" s="333" t="s">
        <v>799</v>
      </c>
      <c r="C46" s="310" t="s">
        <v>94</v>
      </c>
      <c r="D46" s="488">
        <v>8</v>
      </c>
      <c r="E46" s="488">
        <v>8</v>
      </c>
      <c r="F46" s="488">
        <v>8</v>
      </c>
      <c r="G46" s="488">
        <v>8</v>
      </c>
      <c r="H46" s="488">
        <v>7</v>
      </c>
      <c r="I46" s="504">
        <v>7</v>
      </c>
      <c r="J46" s="488">
        <v>7</v>
      </c>
      <c r="K46" s="489">
        <v>7</v>
      </c>
      <c r="L46" s="489">
        <v>7</v>
      </c>
      <c r="M46" s="489">
        <v>7</v>
      </c>
      <c r="N46" s="489">
        <v>7</v>
      </c>
      <c r="O46" s="489">
        <v>7</v>
      </c>
      <c r="P46" s="489">
        <v>7</v>
      </c>
      <c r="Q46" s="489">
        <v>7</v>
      </c>
      <c r="R46" s="489">
        <v>7</v>
      </c>
      <c r="S46" s="489">
        <v>7</v>
      </c>
      <c r="T46" s="489">
        <v>7</v>
      </c>
      <c r="U46" s="320"/>
      <c r="V46" s="320"/>
      <c r="W46" s="320"/>
      <c r="X46" s="320"/>
    </row>
    <row r="47" spans="1:24" s="303" customFormat="1" ht="17.25" customHeight="1">
      <c r="A47" s="306"/>
      <c r="B47" s="333" t="s">
        <v>800</v>
      </c>
      <c r="C47" s="310" t="s">
        <v>94</v>
      </c>
      <c r="D47" s="488">
        <v>7</v>
      </c>
      <c r="E47" s="488">
        <v>7</v>
      </c>
      <c r="F47" s="488">
        <v>7</v>
      </c>
      <c r="G47" s="488">
        <v>7</v>
      </c>
      <c r="H47" s="488">
        <v>7</v>
      </c>
      <c r="I47" s="504">
        <v>7</v>
      </c>
      <c r="J47" s="488">
        <v>7</v>
      </c>
      <c r="K47" s="489">
        <v>7</v>
      </c>
      <c r="L47" s="489">
        <v>7</v>
      </c>
      <c r="M47" s="489">
        <v>7</v>
      </c>
      <c r="N47" s="489">
        <v>7</v>
      </c>
      <c r="O47" s="489">
        <v>7</v>
      </c>
      <c r="P47" s="489">
        <v>7</v>
      </c>
      <c r="Q47" s="489">
        <v>7</v>
      </c>
      <c r="R47" s="489">
        <v>7</v>
      </c>
      <c r="S47" s="489">
        <v>7</v>
      </c>
      <c r="T47" s="489">
        <v>7</v>
      </c>
      <c r="U47" s="320"/>
      <c r="V47" s="320"/>
      <c r="W47" s="320"/>
      <c r="X47" s="320"/>
    </row>
    <row r="48" spans="1:24" s="303" customFormat="1" ht="17.25" customHeight="1">
      <c r="A48" s="306"/>
      <c r="B48" s="333" t="s">
        <v>801</v>
      </c>
      <c r="C48" s="310" t="s">
        <v>94</v>
      </c>
      <c r="D48" s="488">
        <v>13</v>
      </c>
      <c r="E48" s="488">
        <v>13</v>
      </c>
      <c r="F48" s="488">
        <v>13</v>
      </c>
      <c r="G48" s="488">
        <v>12</v>
      </c>
      <c r="H48" s="488">
        <v>13</v>
      </c>
      <c r="I48" s="504">
        <v>13</v>
      </c>
      <c r="J48" s="488">
        <v>13</v>
      </c>
      <c r="K48" s="489">
        <v>13</v>
      </c>
      <c r="L48" s="489">
        <v>13</v>
      </c>
      <c r="M48" s="489">
        <v>13</v>
      </c>
      <c r="N48" s="489">
        <v>13</v>
      </c>
      <c r="O48" s="489">
        <v>13</v>
      </c>
      <c r="P48" s="489">
        <v>13</v>
      </c>
      <c r="Q48" s="489">
        <v>13</v>
      </c>
      <c r="R48" s="489">
        <v>13</v>
      </c>
      <c r="S48" s="489">
        <v>13</v>
      </c>
      <c r="T48" s="489">
        <v>13</v>
      </c>
      <c r="U48" s="320"/>
      <c r="V48" s="320"/>
      <c r="W48" s="320"/>
      <c r="X48" s="320"/>
    </row>
    <row r="49" spans="1:24" s="303" customFormat="1" ht="17.25" customHeight="1">
      <c r="A49" s="306"/>
      <c r="B49" s="333" t="s">
        <v>802</v>
      </c>
      <c r="C49" s="310" t="s">
        <v>94</v>
      </c>
      <c r="D49" s="488">
        <v>7</v>
      </c>
      <c r="E49" s="488">
        <v>7</v>
      </c>
      <c r="F49" s="488">
        <v>7</v>
      </c>
      <c r="G49" s="488">
        <v>7</v>
      </c>
      <c r="H49" s="488">
        <v>8</v>
      </c>
      <c r="I49" s="504">
        <v>8</v>
      </c>
      <c r="J49" s="488">
        <v>8</v>
      </c>
      <c r="K49" s="489">
        <v>8</v>
      </c>
      <c r="L49" s="489">
        <v>8</v>
      </c>
      <c r="M49" s="489">
        <v>8</v>
      </c>
      <c r="N49" s="489">
        <v>8</v>
      </c>
      <c r="O49" s="489">
        <v>8</v>
      </c>
      <c r="P49" s="489">
        <v>8</v>
      </c>
      <c r="Q49" s="489">
        <v>8</v>
      </c>
      <c r="R49" s="489">
        <v>8</v>
      </c>
      <c r="S49" s="489">
        <v>8</v>
      </c>
      <c r="T49" s="489">
        <v>8</v>
      </c>
      <c r="U49" s="320"/>
      <c r="V49" s="320"/>
      <c r="W49" s="320"/>
      <c r="X49" s="320"/>
    </row>
    <row r="50" spans="1:24" s="303" customFormat="1" ht="17.25" customHeight="1">
      <c r="A50" s="306"/>
      <c r="B50" s="333" t="s">
        <v>803</v>
      </c>
      <c r="C50" s="310" t="s">
        <v>94</v>
      </c>
      <c r="D50" s="488">
        <v>1</v>
      </c>
      <c r="E50" s="488">
        <v>1</v>
      </c>
      <c r="F50" s="488">
        <v>1</v>
      </c>
      <c r="G50" s="488">
        <v>1</v>
      </c>
      <c r="H50" s="488">
        <v>1</v>
      </c>
      <c r="I50" s="504">
        <v>1</v>
      </c>
      <c r="J50" s="488">
        <v>1</v>
      </c>
      <c r="K50" s="489">
        <v>1</v>
      </c>
      <c r="L50" s="489">
        <v>1</v>
      </c>
      <c r="M50" s="489">
        <v>1</v>
      </c>
      <c r="N50" s="489">
        <v>1</v>
      </c>
      <c r="O50" s="489">
        <v>1</v>
      </c>
      <c r="P50" s="489">
        <v>1</v>
      </c>
      <c r="Q50" s="489">
        <v>1</v>
      </c>
      <c r="R50" s="489">
        <v>1</v>
      </c>
      <c r="S50" s="489">
        <v>1</v>
      </c>
      <c r="T50" s="489">
        <v>1</v>
      </c>
      <c r="U50" s="320"/>
      <c r="V50" s="320"/>
      <c r="W50" s="320"/>
      <c r="X50" s="320"/>
    </row>
    <row r="51" spans="1:24" s="303" customFormat="1" ht="17.25" customHeight="1">
      <c r="A51" s="306"/>
      <c r="B51" s="333" t="s">
        <v>804</v>
      </c>
      <c r="C51" s="310" t="s">
        <v>94</v>
      </c>
      <c r="D51" s="488">
        <v>2</v>
      </c>
      <c r="E51" s="488">
        <v>2</v>
      </c>
      <c r="F51" s="488">
        <v>2</v>
      </c>
      <c r="G51" s="488">
        <v>2</v>
      </c>
      <c r="H51" s="488">
        <v>2</v>
      </c>
      <c r="I51" s="504">
        <v>2</v>
      </c>
      <c r="J51" s="488">
        <v>2</v>
      </c>
      <c r="K51" s="489">
        <v>2</v>
      </c>
      <c r="L51" s="489">
        <v>2</v>
      </c>
      <c r="M51" s="489">
        <v>2</v>
      </c>
      <c r="N51" s="489">
        <v>2</v>
      </c>
      <c r="O51" s="489">
        <v>2</v>
      </c>
      <c r="P51" s="489">
        <v>2</v>
      </c>
      <c r="Q51" s="489">
        <v>2</v>
      </c>
      <c r="R51" s="489">
        <v>2</v>
      </c>
      <c r="S51" s="489">
        <v>2</v>
      </c>
      <c r="T51" s="489">
        <v>2</v>
      </c>
      <c r="U51" s="320"/>
      <c r="V51" s="320"/>
      <c r="W51" s="320"/>
      <c r="X51" s="320"/>
    </row>
    <row r="52" spans="1:24" s="303" customFormat="1" ht="17.25" customHeight="1">
      <c r="A52" s="306"/>
      <c r="B52" s="333" t="s">
        <v>805</v>
      </c>
      <c r="C52" s="310" t="s">
        <v>94</v>
      </c>
      <c r="D52" s="488">
        <v>11</v>
      </c>
      <c r="E52" s="488">
        <v>11</v>
      </c>
      <c r="F52" s="488">
        <v>11</v>
      </c>
      <c r="G52" s="488">
        <v>11</v>
      </c>
      <c r="H52" s="488">
        <v>13</v>
      </c>
      <c r="I52" s="504">
        <v>13</v>
      </c>
      <c r="J52" s="488">
        <v>14</v>
      </c>
      <c r="K52" s="489">
        <v>13</v>
      </c>
      <c r="L52" s="489">
        <v>13</v>
      </c>
      <c r="M52" s="489">
        <v>13</v>
      </c>
      <c r="N52" s="489">
        <v>13</v>
      </c>
      <c r="O52" s="489">
        <v>13</v>
      </c>
      <c r="P52" s="489">
        <v>13</v>
      </c>
      <c r="Q52" s="489">
        <v>13</v>
      </c>
      <c r="R52" s="489">
        <v>13</v>
      </c>
      <c r="S52" s="489">
        <v>13</v>
      </c>
      <c r="T52" s="489">
        <v>13</v>
      </c>
      <c r="U52" s="320"/>
      <c r="V52" s="320"/>
      <c r="W52" s="320"/>
      <c r="X52" s="320"/>
    </row>
    <row r="53" spans="1:24" s="303" customFormat="1" ht="17.25" customHeight="1">
      <c r="A53" s="306"/>
      <c r="B53" s="333" t="s">
        <v>806</v>
      </c>
      <c r="C53" s="310" t="s">
        <v>94</v>
      </c>
      <c r="D53" s="488">
        <v>1</v>
      </c>
      <c r="E53" s="488">
        <v>1</v>
      </c>
      <c r="F53" s="488">
        <v>1</v>
      </c>
      <c r="G53" s="488">
        <v>1</v>
      </c>
      <c r="H53" s="488">
        <v>1</v>
      </c>
      <c r="I53" s="504">
        <v>1</v>
      </c>
      <c r="J53" s="488">
        <v>1</v>
      </c>
      <c r="K53" s="489">
        <v>1</v>
      </c>
      <c r="L53" s="311">
        <v>3</v>
      </c>
      <c r="M53" s="311">
        <v>3</v>
      </c>
      <c r="N53" s="311">
        <v>4</v>
      </c>
      <c r="O53" s="311">
        <v>4</v>
      </c>
      <c r="P53" s="311">
        <v>4</v>
      </c>
      <c r="Q53" s="311">
        <v>4</v>
      </c>
      <c r="R53" s="311">
        <v>4</v>
      </c>
      <c r="S53" s="311">
        <v>4</v>
      </c>
      <c r="T53" s="311">
        <v>5</v>
      </c>
      <c r="U53" s="320"/>
      <c r="V53" s="320"/>
      <c r="W53" s="320"/>
      <c r="X53" s="320"/>
    </row>
    <row r="54" spans="1:24" s="303" customFormat="1" ht="17.25" customHeight="1">
      <c r="A54" s="306"/>
      <c r="B54" s="333" t="s">
        <v>807</v>
      </c>
      <c r="C54" s="310" t="s">
        <v>94</v>
      </c>
      <c r="D54" s="488">
        <v>1</v>
      </c>
      <c r="E54" s="488">
        <v>1</v>
      </c>
      <c r="F54" s="488">
        <v>1</v>
      </c>
      <c r="G54" s="488">
        <v>3</v>
      </c>
      <c r="H54" s="488">
        <v>3</v>
      </c>
      <c r="I54" s="504">
        <v>3</v>
      </c>
      <c r="J54" s="488">
        <v>3</v>
      </c>
      <c r="K54" s="489">
        <v>3</v>
      </c>
      <c r="L54" s="489">
        <v>3</v>
      </c>
      <c r="M54" s="489">
        <v>3</v>
      </c>
      <c r="N54" s="489">
        <v>4</v>
      </c>
      <c r="O54" s="489">
        <v>4</v>
      </c>
      <c r="P54" s="489">
        <v>4</v>
      </c>
      <c r="Q54" s="489">
        <v>4</v>
      </c>
      <c r="R54" s="489">
        <v>4</v>
      </c>
      <c r="S54" s="489">
        <v>4</v>
      </c>
      <c r="T54" s="489">
        <v>4</v>
      </c>
      <c r="U54" s="320"/>
      <c r="V54" s="320"/>
      <c r="W54" s="320"/>
      <c r="X54" s="320"/>
    </row>
    <row r="55" spans="1:24" s="303" customFormat="1" ht="17.25" customHeight="1">
      <c r="A55" s="306"/>
      <c r="B55" s="333" t="s">
        <v>808</v>
      </c>
      <c r="C55" s="310" t="s">
        <v>94</v>
      </c>
      <c r="D55" s="488">
        <v>1</v>
      </c>
      <c r="E55" s="488">
        <v>1</v>
      </c>
      <c r="F55" s="488">
        <v>1</v>
      </c>
      <c r="G55" s="488">
        <v>2</v>
      </c>
      <c r="H55" s="488">
        <v>2</v>
      </c>
      <c r="I55" s="504">
        <v>2</v>
      </c>
      <c r="J55" s="488">
        <v>3</v>
      </c>
      <c r="K55" s="489">
        <v>3</v>
      </c>
      <c r="L55" s="311">
        <v>5</v>
      </c>
      <c r="M55" s="311">
        <v>5</v>
      </c>
      <c r="N55" s="311">
        <v>5</v>
      </c>
      <c r="O55" s="311">
        <v>5</v>
      </c>
      <c r="P55" s="311">
        <v>5</v>
      </c>
      <c r="Q55" s="311">
        <v>6</v>
      </c>
      <c r="R55" s="311">
        <v>6</v>
      </c>
      <c r="S55" s="311">
        <v>6</v>
      </c>
      <c r="T55" s="311">
        <v>6</v>
      </c>
      <c r="U55" s="320"/>
      <c r="V55" s="320"/>
      <c r="W55" s="320"/>
      <c r="X55" s="320"/>
    </row>
    <row r="56" spans="1:24" s="303" customFormat="1" ht="17.25" customHeight="1">
      <c r="A56" s="306"/>
      <c r="B56" s="333" t="s">
        <v>809</v>
      </c>
      <c r="C56" s="310" t="s">
        <v>94</v>
      </c>
      <c r="D56" s="488">
        <v>1</v>
      </c>
      <c r="E56" s="488">
        <v>1</v>
      </c>
      <c r="F56" s="488">
        <v>1</v>
      </c>
      <c r="G56" s="488">
        <v>1</v>
      </c>
      <c r="H56" s="488">
        <v>1</v>
      </c>
      <c r="I56" s="504">
        <v>1</v>
      </c>
      <c r="J56" s="488">
        <v>1</v>
      </c>
      <c r="K56" s="489">
        <v>1</v>
      </c>
      <c r="L56" s="311">
        <v>3</v>
      </c>
      <c r="M56" s="311">
        <v>3</v>
      </c>
      <c r="N56" s="311">
        <v>4</v>
      </c>
      <c r="O56" s="311">
        <v>4</v>
      </c>
      <c r="P56" s="311">
        <v>4</v>
      </c>
      <c r="Q56" s="311">
        <v>4</v>
      </c>
      <c r="R56" s="311">
        <v>4</v>
      </c>
      <c r="S56" s="311">
        <v>4</v>
      </c>
      <c r="T56" s="311">
        <v>5</v>
      </c>
      <c r="U56" s="320"/>
      <c r="V56" s="320"/>
      <c r="W56" s="320"/>
      <c r="X56" s="320"/>
    </row>
    <row r="57" spans="1:24" s="303" customFormat="1" ht="17.25" customHeight="1">
      <c r="A57" s="306"/>
      <c r="B57" s="337" t="s">
        <v>219</v>
      </c>
      <c r="C57" s="310" t="s">
        <v>94</v>
      </c>
      <c r="D57" s="488">
        <v>8</v>
      </c>
      <c r="E57" s="488">
        <v>8</v>
      </c>
      <c r="F57" s="488">
        <v>7</v>
      </c>
      <c r="G57" s="488">
        <v>11</v>
      </c>
      <c r="H57" s="488">
        <v>12</v>
      </c>
      <c r="I57" s="504">
        <v>12</v>
      </c>
      <c r="J57" s="488">
        <v>12</v>
      </c>
      <c r="K57" s="489">
        <v>12</v>
      </c>
      <c r="L57" s="489">
        <v>12</v>
      </c>
      <c r="M57" s="489">
        <v>12</v>
      </c>
      <c r="N57" s="489">
        <v>12</v>
      </c>
      <c r="O57" s="489">
        <v>12</v>
      </c>
      <c r="P57" s="489">
        <v>12</v>
      </c>
      <c r="Q57" s="489">
        <v>12</v>
      </c>
      <c r="R57" s="489">
        <v>12</v>
      </c>
      <c r="S57" s="489">
        <v>12</v>
      </c>
      <c r="T57" s="489">
        <v>12</v>
      </c>
      <c r="U57" s="320"/>
      <c r="V57" s="320"/>
      <c r="W57" s="320"/>
      <c r="X57" s="320"/>
    </row>
    <row r="58" spans="1:24" s="303" customFormat="1" ht="17.25" customHeight="1">
      <c r="A58" s="306"/>
      <c r="B58" s="333" t="s">
        <v>810</v>
      </c>
      <c r="C58" s="310" t="s">
        <v>94</v>
      </c>
      <c r="D58" s="488">
        <v>1</v>
      </c>
      <c r="E58" s="488">
        <v>1</v>
      </c>
      <c r="F58" s="488">
        <v>1</v>
      </c>
      <c r="G58" s="488">
        <v>1</v>
      </c>
      <c r="H58" s="488">
        <v>1</v>
      </c>
      <c r="I58" s="504">
        <v>1</v>
      </c>
      <c r="J58" s="488">
        <v>1</v>
      </c>
      <c r="K58" s="489">
        <v>1</v>
      </c>
      <c r="L58" s="489">
        <v>1</v>
      </c>
      <c r="M58" s="489">
        <v>1</v>
      </c>
      <c r="N58" s="489">
        <v>1</v>
      </c>
      <c r="O58" s="489"/>
      <c r="P58" s="489"/>
      <c r="Q58" s="489"/>
      <c r="R58" s="489"/>
      <c r="S58" s="489"/>
      <c r="T58" s="489"/>
      <c r="U58" s="320"/>
      <c r="V58" s="320"/>
      <c r="W58" s="320"/>
      <c r="X58" s="320"/>
    </row>
    <row r="59" spans="1:24" s="303" customFormat="1" ht="17.25" customHeight="1">
      <c r="A59" s="306"/>
      <c r="B59" s="333" t="s">
        <v>811</v>
      </c>
      <c r="C59" s="310" t="s">
        <v>94</v>
      </c>
      <c r="D59" s="488">
        <v>2</v>
      </c>
      <c r="E59" s="488">
        <v>2</v>
      </c>
      <c r="F59" s="488">
        <v>4</v>
      </c>
      <c r="G59" s="488">
        <v>5</v>
      </c>
      <c r="H59" s="488">
        <v>5</v>
      </c>
      <c r="I59" s="504">
        <v>5</v>
      </c>
      <c r="J59" s="488">
        <v>5</v>
      </c>
      <c r="K59" s="489">
        <v>5</v>
      </c>
      <c r="L59" s="489">
        <v>5</v>
      </c>
      <c r="M59" s="489">
        <v>5</v>
      </c>
      <c r="N59" s="489">
        <v>5</v>
      </c>
      <c r="O59" s="489">
        <v>5</v>
      </c>
      <c r="P59" s="489">
        <v>5</v>
      </c>
      <c r="Q59" s="489">
        <v>5</v>
      </c>
      <c r="R59" s="489">
        <v>5</v>
      </c>
      <c r="S59" s="489">
        <v>5</v>
      </c>
      <c r="T59" s="489">
        <v>5</v>
      </c>
      <c r="U59" s="320"/>
      <c r="V59" s="320"/>
      <c r="W59" s="320"/>
      <c r="X59" s="320"/>
    </row>
    <row r="60" spans="1:24" s="303" customFormat="1" ht="17.25" customHeight="1">
      <c r="A60" s="306"/>
      <c r="B60" s="333" t="s">
        <v>812</v>
      </c>
      <c r="C60" s="310" t="s">
        <v>94</v>
      </c>
      <c r="D60" s="488">
        <v>4</v>
      </c>
      <c r="E60" s="488">
        <v>4</v>
      </c>
      <c r="F60" s="488">
        <v>4</v>
      </c>
      <c r="G60" s="488">
        <v>5</v>
      </c>
      <c r="H60" s="488">
        <v>5</v>
      </c>
      <c r="I60" s="504">
        <v>5</v>
      </c>
      <c r="J60" s="488">
        <v>4</v>
      </c>
      <c r="K60" s="489">
        <v>4</v>
      </c>
      <c r="L60" s="489">
        <v>4</v>
      </c>
      <c r="M60" s="489">
        <v>4</v>
      </c>
      <c r="N60" s="489">
        <v>4</v>
      </c>
      <c r="O60" s="489">
        <v>4</v>
      </c>
      <c r="P60" s="489">
        <v>4</v>
      </c>
      <c r="Q60" s="489">
        <v>4</v>
      </c>
      <c r="R60" s="489">
        <v>4</v>
      </c>
      <c r="S60" s="489">
        <v>4</v>
      </c>
      <c r="T60" s="489">
        <v>4</v>
      </c>
      <c r="U60" s="320"/>
      <c r="V60" s="320"/>
      <c r="W60" s="320"/>
      <c r="X60" s="320"/>
    </row>
    <row r="61" spans="1:24" s="303" customFormat="1" ht="17.25" customHeight="1">
      <c r="A61" s="306"/>
      <c r="B61" s="333" t="s">
        <v>813</v>
      </c>
      <c r="C61" s="310" t="s">
        <v>94</v>
      </c>
      <c r="D61" s="488">
        <v>1</v>
      </c>
      <c r="E61" s="488">
        <v>1</v>
      </c>
      <c r="F61" s="488">
        <v>1</v>
      </c>
      <c r="G61" s="488">
        <v>1</v>
      </c>
      <c r="H61" s="488">
        <v>1</v>
      </c>
      <c r="I61" s="504">
        <v>1</v>
      </c>
      <c r="J61" s="488">
        <v>1</v>
      </c>
      <c r="K61" s="489">
        <v>1</v>
      </c>
      <c r="L61" s="311">
        <v>3</v>
      </c>
      <c r="M61" s="311">
        <v>3</v>
      </c>
      <c r="N61" s="311">
        <v>3</v>
      </c>
      <c r="O61" s="311">
        <v>3</v>
      </c>
      <c r="P61" s="311">
        <v>3</v>
      </c>
      <c r="Q61" s="346">
        <v>4</v>
      </c>
      <c r="R61" s="346">
        <v>4</v>
      </c>
      <c r="S61" s="346">
        <v>4</v>
      </c>
      <c r="T61" s="346">
        <v>4</v>
      </c>
      <c r="U61" s="320"/>
      <c r="V61" s="320"/>
      <c r="W61" s="320"/>
      <c r="X61" s="320"/>
    </row>
    <row r="62" spans="1:24" s="303" customFormat="1" ht="17.25" customHeight="1">
      <c r="A62" s="306"/>
      <c r="B62" s="333" t="s">
        <v>814</v>
      </c>
      <c r="C62" s="310" t="s">
        <v>94</v>
      </c>
      <c r="D62" s="488">
        <v>4</v>
      </c>
      <c r="E62" s="488">
        <v>4</v>
      </c>
      <c r="F62" s="488">
        <v>4</v>
      </c>
      <c r="G62" s="488">
        <v>5</v>
      </c>
      <c r="H62" s="488">
        <v>5</v>
      </c>
      <c r="I62" s="504">
        <v>5</v>
      </c>
      <c r="J62" s="488">
        <v>4</v>
      </c>
      <c r="K62" s="489">
        <v>4</v>
      </c>
      <c r="L62" s="489">
        <v>4</v>
      </c>
      <c r="M62" s="489">
        <v>4</v>
      </c>
      <c r="N62" s="489">
        <v>4</v>
      </c>
      <c r="O62" s="311">
        <v>5</v>
      </c>
      <c r="P62" s="311">
        <v>5</v>
      </c>
      <c r="Q62" s="311">
        <v>5</v>
      </c>
      <c r="R62" s="311">
        <v>5</v>
      </c>
      <c r="S62" s="311">
        <v>5</v>
      </c>
      <c r="T62" s="311">
        <v>5</v>
      </c>
      <c r="U62" s="320"/>
      <c r="V62" s="320"/>
      <c r="W62" s="320"/>
      <c r="X62" s="320"/>
    </row>
    <row r="63" spans="1:24" s="303" customFormat="1" ht="17.25" customHeight="1">
      <c r="A63" s="306"/>
      <c r="B63" s="333" t="s">
        <v>815</v>
      </c>
      <c r="C63" s="310" t="s">
        <v>94</v>
      </c>
      <c r="D63" s="488">
        <v>11</v>
      </c>
      <c r="E63" s="488">
        <v>11</v>
      </c>
      <c r="F63" s="488">
        <v>11</v>
      </c>
      <c r="G63" s="488">
        <v>11</v>
      </c>
      <c r="H63" s="488">
        <v>11</v>
      </c>
      <c r="I63" s="504">
        <v>11</v>
      </c>
      <c r="J63" s="488">
        <v>11</v>
      </c>
      <c r="K63" s="489">
        <v>11</v>
      </c>
      <c r="L63" s="489">
        <v>11</v>
      </c>
      <c r="M63" s="489">
        <v>11</v>
      </c>
      <c r="N63" s="489">
        <v>11</v>
      </c>
      <c r="O63" s="489">
        <v>11</v>
      </c>
      <c r="P63" s="489">
        <v>11</v>
      </c>
      <c r="Q63" s="489">
        <v>11</v>
      </c>
      <c r="R63" s="489">
        <v>11</v>
      </c>
      <c r="S63" s="489">
        <v>11</v>
      </c>
      <c r="T63" s="489">
        <v>11</v>
      </c>
      <c r="U63" s="320"/>
      <c r="V63" s="320"/>
      <c r="W63" s="320"/>
      <c r="X63" s="320"/>
    </row>
    <row r="64" spans="1:24" s="303" customFormat="1" ht="17.25" customHeight="1">
      <c r="A64" s="306"/>
      <c r="B64" s="333" t="s">
        <v>816</v>
      </c>
      <c r="C64" s="310" t="s">
        <v>94</v>
      </c>
      <c r="D64" s="488">
        <v>1</v>
      </c>
      <c r="E64" s="488">
        <v>1</v>
      </c>
      <c r="F64" s="488">
        <v>1</v>
      </c>
      <c r="G64" s="488">
        <v>1</v>
      </c>
      <c r="H64" s="488">
        <v>1</v>
      </c>
      <c r="I64" s="504">
        <v>1</v>
      </c>
      <c r="J64" s="488">
        <v>1</v>
      </c>
      <c r="K64" s="489">
        <v>2</v>
      </c>
      <c r="L64" s="311">
        <v>4</v>
      </c>
      <c r="M64" s="311">
        <v>4</v>
      </c>
      <c r="N64" s="311">
        <v>4</v>
      </c>
      <c r="O64" s="311">
        <v>4</v>
      </c>
      <c r="P64" s="311">
        <v>4</v>
      </c>
      <c r="Q64" s="311">
        <v>5</v>
      </c>
      <c r="R64" s="311">
        <v>5</v>
      </c>
      <c r="S64" s="311">
        <v>6</v>
      </c>
      <c r="T64" s="311">
        <v>6</v>
      </c>
      <c r="U64" s="320"/>
      <c r="V64" s="320"/>
      <c r="W64" s="320"/>
      <c r="X64" s="320"/>
    </row>
    <row r="65" spans="1:24" s="303" customFormat="1" ht="17.25" customHeight="1">
      <c r="A65" s="306"/>
      <c r="B65" s="333" t="s">
        <v>817</v>
      </c>
      <c r="C65" s="310" t="s">
        <v>94</v>
      </c>
      <c r="D65" s="345"/>
      <c r="E65" s="345"/>
      <c r="F65" s="345"/>
      <c r="G65" s="345"/>
      <c r="H65" s="488">
        <v>1</v>
      </c>
      <c r="I65" s="504">
        <v>1</v>
      </c>
      <c r="J65" s="488">
        <v>1</v>
      </c>
      <c r="K65" s="489">
        <v>2</v>
      </c>
      <c r="L65" s="489">
        <v>2</v>
      </c>
      <c r="M65" s="489">
        <v>2</v>
      </c>
      <c r="N65" s="489">
        <v>2</v>
      </c>
      <c r="O65" s="489">
        <v>2</v>
      </c>
      <c r="P65" s="346">
        <v>2</v>
      </c>
      <c r="Q65" s="346">
        <v>3</v>
      </c>
      <c r="R65" s="346">
        <v>3</v>
      </c>
      <c r="S65" s="346">
        <v>3</v>
      </c>
      <c r="T65" s="346">
        <v>3</v>
      </c>
      <c r="U65" s="320"/>
      <c r="V65" s="320"/>
      <c r="W65" s="320"/>
      <c r="X65" s="320"/>
    </row>
    <row r="66" spans="1:24" s="303" customFormat="1" ht="17.25" customHeight="1">
      <c r="A66" s="306"/>
      <c r="B66" s="332" t="s">
        <v>818</v>
      </c>
      <c r="C66" s="310" t="s">
        <v>94</v>
      </c>
      <c r="D66" s="311">
        <v>4</v>
      </c>
      <c r="E66" s="311">
        <v>4</v>
      </c>
      <c r="F66" s="311">
        <v>3</v>
      </c>
      <c r="G66" s="346">
        <v>3</v>
      </c>
      <c r="H66" s="346">
        <v>5</v>
      </c>
      <c r="I66" s="505">
        <v>5</v>
      </c>
      <c r="J66" s="341">
        <v>5</v>
      </c>
      <c r="K66" s="342">
        <v>5</v>
      </c>
      <c r="L66" s="342">
        <v>5</v>
      </c>
      <c r="M66" s="341">
        <v>5</v>
      </c>
      <c r="N66" s="341">
        <v>5</v>
      </c>
      <c r="O66" s="343">
        <v>5</v>
      </c>
      <c r="P66" s="341">
        <v>7</v>
      </c>
      <c r="Q66" s="341">
        <v>10</v>
      </c>
      <c r="R66" s="341">
        <v>10</v>
      </c>
      <c r="S66" s="341">
        <v>10</v>
      </c>
      <c r="T66" s="341">
        <v>17</v>
      </c>
      <c r="U66" s="320"/>
      <c r="V66" s="320"/>
      <c r="W66" s="320"/>
      <c r="X66" s="320"/>
    </row>
    <row r="67" spans="1:24" s="303" customFormat="1" ht="17.25" customHeight="1">
      <c r="A67" s="306"/>
      <c r="B67" s="332" t="s">
        <v>819</v>
      </c>
      <c r="C67" s="310" t="s">
        <v>94</v>
      </c>
      <c r="D67" s="311">
        <v>12</v>
      </c>
      <c r="E67" s="311">
        <v>13</v>
      </c>
      <c r="F67" s="311">
        <v>14</v>
      </c>
      <c r="G67" s="346">
        <v>15</v>
      </c>
      <c r="H67" s="346">
        <v>14</v>
      </c>
      <c r="I67" s="505">
        <v>15</v>
      </c>
      <c r="J67" s="341">
        <v>14</v>
      </c>
      <c r="K67" s="342">
        <v>14</v>
      </c>
      <c r="L67" s="342">
        <v>14</v>
      </c>
      <c r="M67" s="341">
        <v>14</v>
      </c>
      <c r="N67" s="341">
        <v>14</v>
      </c>
      <c r="O67" s="343">
        <v>14</v>
      </c>
      <c r="P67" s="341">
        <v>14</v>
      </c>
      <c r="Q67" s="341">
        <v>16</v>
      </c>
      <c r="R67" s="341">
        <v>16</v>
      </c>
      <c r="S67" s="341">
        <v>16</v>
      </c>
      <c r="T67" s="341">
        <v>18</v>
      </c>
      <c r="U67" s="320"/>
      <c r="V67" s="320"/>
      <c r="W67" s="320"/>
      <c r="X67" s="320"/>
    </row>
    <row r="68" spans="1:24" s="303" customFormat="1" ht="17.25" customHeight="1">
      <c r="A68" s="306"/>
      <c r="B68" s="332" t="s">
        <v>820</v>
      </c>
      <c r="C68" s="310" t="s">
        <v>94</v>
      </c>
      <c r="D68" s="311">
        <v>1</v>
      </c>
      <c r="E68" s="311">
        <v>1</v>
      </c>
      <c r="F68" s="311">
        <v>2</v>
      </c>
      <c r="G68" s="346">
        <v>2</v>
      </c>
      <c r="H68" s="346">
        <v>4</v>
      </c>
      <c r="I68" s="505">
        <v>4</v>
      </c>
      <c r="J68" s="341">
        <v>4</v>
      </c>
      <c r="K68" s="342">
        <v>4</v>
      </c>
      <c r="L68" s="342">
        <v>4</v>
      </c>
      <c r="M68" s="341">
        <v>4</v>
      </c>
      <c r="N68" s="341">
        <v>7</v>
      </c>
      <c r="O68" s="343">
        <v>7</v>
      </c>
      <c r="P68" s="341">
        <v>7</v>
      </c>
      <c r="Q68" s="341">
        <v>7</v>
      </c>
      <c r="R68" s="341">
        <v>12</v>
      </c>
      <c r="S68" s="341">
        <v>12</v>
      </c>
      <c r="T68" s="341">
        <v>17</v>
      </c>
      <c r="U68" s="320"/>
      <c r="V68" s="320"/>
      <c r="W68" s="320"/>
      <c r="X68" s="320"/>
    </row>
    <row r="69" spans="1:24" s="303" customFormat="1" ht="17.25" customHeight="1">
      <c r="A69" s="306"/>
      <c r="B69" s="332" t="s">
        <v>821</v>
      </c>
      <c r="C69" s="310" t="s">
        <v>94</v>
      </c>
      <c r="D69" s="311">
        <v>9</v>
      </c>
      <c r="E69" s="311">
        <v>11</v>
      </c>
      <c r="F69" s="311">
        <v>10</v>
      </c>
      <c r="G69" s="346">
        <v>11</v>
      </c>
      <c r="H69" s="346">
        <v>11</v>
      </c>
      <c r="I69" s="505">
        <v>10</v>
      </c>
      <c r="J69" s="341">
        <v>10</v>
      </c>
      <c r="K69" s="342">
        <v>10</v>
      </c>
      <c r="L69" s="342">
        <v>10</v>
      </c>
      <c r="M69" s="341">
        <v>10</v>
      </c>
      <c r="N69" s="341">
        <v>10</v>
      </c>
      <c r="O69" s="343">
        <v>10</v>
      </c>
      <c r="P69" s="341">
        <v>10</v>
      </c>
      <c r="Q69" s="341">
        <v>10</v>
      </c>
      <c r="R69" s="341">
        <v>10</v>
      </c>
      <c r="S69" s="341">
        <v>15</v>
      </c>
      <c r="T69" s="341">
        <v>18</v>
      </c>
      <c r="U69" s="320"/>
      <c r="V69" s="320"/>
      <c r="W69" s="320"/>
      <c r="X69" s="320"/>
    </row>
    <row r="70" spans="1:24" s="303" customFormat="1" ht="17.25" customHeight="1">
      <c r="A70" s="306"/>
      <c r="B70" s="332" t="s">
        <v>822</v>
      </c>
      <c r="C70" s="310" t="s">
        <v>94</v>
      </c>
      <c r="D70" s="311">
        <v>5</v>
      </c>
      <c r="E70" s="311">
        <v>5</v>
      </c>
      <c r="F70" s="311">
        <v>5</v>
      </c>
      <c r="G70" s="346">
        <v>5</v>
      </c>
      <c r="H70" s="346">
        <v>5</v>
      </c>
      <c r="I70" s="505">
        <v>4</v>
      </c>
      <c r="J70" s="341">
        <v>5</v>
      </c>
      <c r="K70" s="342">
        <v>5</v>
      </c>
      <c r="L70" s="342">
        <v>5</v>
      </c>
      <c r="M70" s="341">
        <v>5</v>
      </c>
      <c r="N70" s="341">
        <v>7</v>
      </c>
      <c r="O70" s="343">
        <v>7</v>
      </c>
      <c r="P70" s="341">
        <v>7</v>
      </c>
      <c r="Q70" s="341">
        <v>7</v>
      </c>
      <c r="R70" s="341">
        <v>7</v>
      </c>
      <c r="S70" s="341">
        <v>12</v>
      </c>
      <c r="T70" s="341">
        <v>20</v>
      </c>
      <c r="U70" s="320"/>
      <c r="V70" s="320"/>
      <c r="W70" s="320"/>
      <c r="X70" s="320"/>
    </row>
    <row r="71" spans="1:24" s="303" customFormat="1" ht="17.25" customHeight="1">
      <c r="A71" s="306"/>
      <c r="B71" s="332" t="s">
        <v>823</v>
      </c>
      <c r="C71" s="310" t="s">
        <v>94</v>
      </c>
      <c r="D71" s="311">
        <v>4</v>
      </c>
      <c r="E71" s="311">
        <v>3</v>
      </c>
      <c r="F71" s="311">
        <v>4</v>
      </c>
      <c r="G71" s="346">
        <v>4</v>
      </c>
      <c r="H71" s="346">
        <v>4</v>
      </c>
      <c r="I71" s="505">
        <v>3</v>
      </c>
      <c r="J71" s="341">
        <v>2</v>
      </c>
      <c r="K71" s="342">
        <v>2</v>
      </c>
      <c r="L71" s="342">
        <v>2</v>
      </c>
      <c r="M71" s="341">
        <v>2</v>
      </c>
      <c r="N71" s="341">
        <v>2</v>
      </c>
      <c r="O71" s="343">
        <v>2</v>
      </c>
      <c r="P71" s="341">
        <v>2</v>
      </c>
      <c r="Q71" s="341">
        <v>7</v>
      </c>
      <c r="R71" s="341">
        <v>12</v>
      </c>
      <c r="S71" s="341">
        <v>12</v>
      </c>
      <c r="T71" s="341">
        <v>17</v>
      </c>
      <c r="U71" s="320"/>
      <c r="V71" s="320"/>
      <c r="W71" s="320"/>
      <c r="X71" s="320"/>
    </row>
    <row r="72" spans="1:24" s="303" customFormat="1" ht="17.25" customHeight="1">
      <c r="A72" s="306"/>
      <c r="B72" s="332" t="s">
        <v>824</v>
      </c>
      <c r="C72" s="310" t="s">
        <v>94</v>
      </c>
      <c r="D72" s="311">
        <v>4</v>
      </c>
      <c r="E72" s="311">
        <v>5</v>
      </c>
      <c r="F72" s="311">
        <v>5</v>
      </c>
      <c r="G72" s="346">
        <v>5</v>
      </c>
      <c r="H72" s="346">
        <v>7</v>
      </c>
      <c r="I72" s="505">
        <v>7</v>
      </c>
      <c r="J72" s="341">
        <v>6</v>
      </c>
      <c r="K72" s="342">
        <v>6</v>
      </c>
      <c r="L72" s="342">
        <v>6</v>
      </c>
      <c r="M72" s="341">
        <v>6</v>
      </c>
      <c r="N72" s="341">
        <v>8</v>
      </c>
      <c r="O72" s="343">
        <v>8</v>
      </c>
      <c r="P72" s="341">
        <v>8</v>
      </c>
      <c r="Q72" s="341">
        <v>8</v>
      </c>
      <c r="R72" s="341">
        <v>13</v>
      </c>
      <c r="S72" s="341">
        <v>13</v>
      </c>
      <c r="T72" s="341">
        <v>20</v>
      </c>
      <c r="U72" s="320"/>
      <c r="V72" s="320"/>
      <c r="W72" s="320"/>
      <c r="X72" s="320"/>
    </row>
    <row r="73" spans="1:24" s="303" customFormat="1" ht="17.25" customHeight="1">
      <c r="A73" s="306"/>
      <c r="B73" s="332" t="s">
        <v>825</v>
      </c>
      <c r="C73" s="310" t="s">
        <v>94</v>
      </c>
      <c r="D73" s="311">
        <v>4</v>
      </c>
      <c r="E73" s="311">
        <v>4</v>
      </c>
      <c r="F73" s="311">
        <v>4</v>
      </c>
      <c r="G73" s="346">
        <v>5</v>
      </c>
      <c r="H73" s="346">
        <v>4</v>
      </c>
      <c r="I73" s="505">
        <v>4</v>
      </c>
      <c r="J73" s="341">
        <v>4</v>
      </c>
      <c r="K73" s="342">
        <v>4</v>
      </c>
      <c r="L73" s="342">
        <v>4</v>
      </c>
      <c r="M73" s="341">
        <v>4</v>
      </c>
      <c r="N73" s="341">
        <v>7</v>
      </c>
      <c r="O73" s="343">
        <v>7</v>
      </c>
      <c r="P73" s="341">
        <v>7</v>
      </c>
      <c r="Q73" s="341">
        <v>7</v>
      </c>
      <c r="R73" s="341">
        <v>7</v>
      </c>
      <c r="S73" s="341">
        <v>12</v>
      </c>
      <c r="T73" s="341">
        <v>17</v>
      </c>
      <c r="U73" s="320"/>
      <c r="V73" s="320"/>
      <c r="W73" s="320"/>
      <c r="X73" s="320"/>
    </row>
    <row r="74" spans="1:24" s="303" customFormat="1" ht="17.25" customHeight="1">
      <c r="A74" s="306"/>
      <c r="B74" s="332" t="s">
        <v>826</v>
      </c>
      <c r="C74" s="310" t="s">
        <v>94</v>
      </c>
      <c r="D74" s="311">
        <v>4</v>
      </c>
      <c r="E74" s="311">
        <v>4</v>
      </c>
      <c r="F74" s="311">
        <v>4</v>
      </c>
      <c r="G74" s="346">
        <v>4</v>
      </c>
      <c r="H74" s="346">
        <v>4</v>
      </c>
      <c r="I74" s="505">
        <v>3</v>
      </c>
      <c r="J74" s="341">
        <v>3</v>
      </c>
      <c r="K74" s="342">
        <v>3</v>
      </c>
      <c r="L74" s="342">
        <v>3</v>
      </c>
      <c r="M74" s="341">
        <v>3</v>
      </c>
      <c r="N74" s="341">
        <v>3</v>
      </c>
      <c r="O74" s="343">
        <v>3</v>
      </c>
      <c r="P74" s="341">
        <v>7</v>
      </c>
      <c r="Q74" s="341">
        <v>7</v>
      </c>
      <c r="R74" s="341">
        <v>7</v>
      </c>
      <c r="S74" s="341">
        <v>12</v>
      </c>
      <c r="T74" s="341">
        <v>20</v>
      </c>
      <c r="U74" s="320"/>
      <c r="V74" s="320"/>
      <c r="W74" s="320"/>
      <c r="X74" s="320"/>
    </row>
    <row r="75" spans="1:24" s="303" customFormat="1" ht="17.25" customHeight="1">
      <c r="A75" s="306"/>
      <c r="B75" s="332" t="s">
        <v>827</v>
      </c>
      <c r="C75" s="310" t="s">
        <v>94</v>
      </c>
      <c r="D75" s="311">
        <v>2</v>
      </c>
      <c r="E75" s="311">
        <v>2</v>
      </c>
      <c r="F75" s="311">
        <v>2</v>
      </c>
      <c r="G75" s="346">
        <v>2</v>
      </c>
      <c r="H75" s="346">
        <v>2</v>
      </c>
      <c r="I75" s="505">
        <v>2</v>
      </c>
      <c r="J75" s="341">
        <v>2</v>
      </c>
      <c r="K75" s="342">
        <v>2</v>
      </c>
      <c r="L75" s="342">
        <v>2</v>
      </c>
      <c r="M75" s="341">
        <v>2</v>
      </c>
      <c r="N75" s="341">
        <v>2</v>
      </c>
      <c r="O75" s="343">
        <v>2</v>
      </c>
      <c r="P75" s="341">
        <v>5</v>
      </c>
      <c r="Q75" s="341">
        <v>7</v>
      </c>
      <c r="R75" s="341">
        <v>12</v>
      </c>
      <c r="S75" s="341">
        <v>12</v>
      </c>
      <c r="T75" s="341">
        <v>20</v>
      </c>
      <c r="U75" s="320"/>
      <c r="V75" s="320"/>
      <c r="W75" s="320"/>
      <c r="X75" s="320"/>
    </row>
    <row r="76" spans="1:24" s="303" customFormat="1" ht="17.25" customHeight="1">
      <c r="A76" s="306"/>
      <c r="B76" s="332" t="s">
        <v>828</v>
      </c>
      <c r="C76" s="310" t="s">
        <v>94</v>
      </c>
      <c r="D76" s="311">
        <v>7</v>
      </c>
      <c r="E76" s="311">
        <v>8</v>
      </c>
      <c r="F76" s="311">
        <v>10</v>
      </c>
      <c r="G76" s="346">
        <v>10</v>
      </c>
      <c r="H76" s="346">
        <v>10</v>
      </c>
      <c r="I76" s="505">
        <v>10</v>
      </c>
      <c r="J76" s="341">
        <v>10</v>
      </c>
      <c r="K76" s="342">
        <v>10</v>
      </c>
      <c r="L76" s="342">
        <v>10</v>
      </c>
      <c r="M76" s="341">
        <v>10</v>
      </c>
      <c r="N76" s="341">
        <v>10</v>
      </c>
      <c r="O76" s="343">
        <v>10</v>
      </c>
      <c r="P76" s="341">
        <v>10</v>
      </c>
      <c r="Q76" s="341">
        <v>10</v>
      </c>
      <c r="R76" s="341">
        <v>10</v>
      </c>
      <c r="S76" s="341">
        <v>10</v>
      </c>
      <c r="T76" s="341">
        <v>17</v>
      </c>
      <c r="U76" s="320"/>
      <c r="V76" s="320"/>
      <c r="W76" s="320"/>
      <c r="X76" s="320"/>
    </row>
    <row r="77" spans="1:24" s="303" customFormat="1" ht="17.25" customHeight="1">
      <c r="A77" s="306"/>
      <c r="B77" s="332" t="s">
        <v>829</v>
      </c>
      <c r="C77" s="310" t="s">
        <v>94</v>
      </c>
      <c r="D77" s="311"/>
      <c r="E77" s="311"/>
      <c r="F77" s="311"/>
      <c r="G77" s="346">
        <v>2</v>
      </c>
      <c r="H77" s="346">
        <v>3</v>
      </c>
      <c r="I77" s="505">
        <v>3</v>
      </c>
      <c r="J77" s="341">
        <v>3</v>
      </c>
      <c r="K77" s="342">
        <v>3</v>
      </c>
      <c r="L77" s="342">
        <v>3</v>
      </c>
      <c r="M77" s="341">
        <v>3</v>
      </c>
      <c r="N77" s="341">
        <v>3</v>
      </c>
      <c r="O77" s="343">
        <v>3</v>
      </c>
      <c r="P77" s="341">
        <v>4</v>
      </c>
      <c r="Q77" s="341">
        <v>7</v>
      </c>
      <c r="R77" s="341">
        <v>12</v>
      </c>
      <c r="S77" s="341">
        <v>12</v>
      </c>
      <c r="T77" s="341">
        <v>17</v>
      </c>
      <c r="U77" s="320"/>
      <c r="V77" s="320"/>
      <c r="W77" s="320"/>
      <c r="X77" s="320"/>
    </row>
    <row r="78" spans="1:24" s="303" customFormat="1" ht="17.25" customHeight="1">
      <c r="A78" s="306"/>
      <c r="B78" s="308" t="s">
        <v>830</v>
      </c>
      <c r="C78" s="310" t="s">
        <v>94</v>
      </c>
      <c r="D78" s="345">
        <v>7</v>
      </c>
      <c r="E78" s="311">
        <v>13</v>
      </c>
      <c r="F78" s="311">
        <v>13</v>
      </c>
      <c r="G78" s="346">
        <v>14</v>
      </c>
      <c r="H78" s="346">
        <v>13</v>
      </c>
      <c r="I78" s="505">
        <v>14</v>
      </c>
      <c r="J78" s="345">
        <v>11</v>
      </c>
      <c r="K78" s="345">
        <v>20</v>
      </c>
      <c r="L78" s="345">
        <v>18</v>
      </c>
      <c r="M78" s="345">
        <v>17</v>
      </c>
      <c r="N78" s="346">
        <v>17</v>
      </c>
      <c r="O78" s="346">
        <v>17</v>
      </c>
      <c r="P78" s="346">
        <v>17</v>
      </c>
      <c r="Q78" s="346">
        <v>16</v>
      </c>
      <c r="R78" s="346">
        <v>16</v>
      </c>
      <c r="S78" s="346">
        <v>16</v>
      </c>
      <c r="T78" s="346">
        <v>16</v>
      </c>
      <c r="U78" s="320"/>
      <c r="V78" s="320"/>
      <c r="W78" s="320"/>
      <c r="X78" s="320"/>
    </row>
    <row r="79" spans="1:24" s="303" customFormat="1" ht="17.25" customHeight="1">
      <c r="A79" s="306"/>
      <c r="B79" s="308" t="s">
        <v>831</v>
      </c>
      <c r="C79" s="310" t="s">
        <v>94</v>
      </c>
      <c r="D79" s="345">
        <v>6</v>
      </c>
      <c r="E79" s="311">
        <v>6</v>
      </c>
      <c r="F79" s="311">
        <v>6</v>
      </c>
      <c r="G79" s="346">
        <v>6</v>
      </c>
      <c r="H79" s="346">
        <v>5</v>
      </c>
      <c r="I79" s="505">
        <v>5</v>
      </c>
      <c r="J79" s="345">
        <v>4</v>
      </c>
      <c r="K79" s="345">
        <v>4</v>
      </c>
      <c r="L79" s="345">
        <v>4</v>
      </c>
      <c r="M79" s="345">
        <v>4</v>
      </c>
      <c r="N79" s="346">
        <v>4</v>
      </c>
      <c r="O79" s="346">
        <v>4</v>
      </c>
      <c r="P79" s="346">
        <v>7</v>
      </c>
      <c r="Q79" s="346">
        <v>8</v>
      </c>
      <c r="R79" s="346">
        <v>8</v>
      </c>
      <c r="S79" s="346">
        <v>8</v>
      </c>
      <c r="T79" s="346">
        <v>8</v>
      </c>
      <c r="U79" s="320"/>
      <c r="V79" s="320"/>
      <c r="W79" s="320"/>
      <c r="X79" s="320"/>
    </row>
    <row r="80" spans="1:24" s="303" customFormat="1" ht="17.25" customHeight="1">
      <c r="A80" s="306"/>
      <c r="B80" s="308" t="s">
        <v>832</v>
      </c>
      <c r="C80" s="310" t="s">
        <v>94</v>
      </c>
      <c r="D80" s="345">
        <v>4</v>
      </c>
      <c r="E80" s="311">
        <v>4</v>
      </c>
      <c r="F80" s="311">
        <v>4</v>
      </c>
      <c r="G80" s="346">
        <v>5</v>
      </c>
      <c r="H80" s="346">
        <v>5</v>
      </c>
      <c r="I80" s="505">
        <v>5</v>
      </c>
      <c r="J80" s="345">
        <v>5</v>
      </c>
      <c r="K80" s="345">
        <v>5</v>
      </c>
      <c r="L80" s="345">
        <v>5</v>
      </c>
      <c r="M80" s="345">
        <v>5</v>
      </c>
      <c r="N80" s="346">
        <v>5</v>
      </c>
      <c r="O80" s="346">
        <v>5</v>
      </c>
      <c r="P80" s="346">
        <v>7</v>
      </c>
      <c r="Q80" s="346">
        <v>7</v>
      </c>
      <c r="R80" s="346">
        <v>7</v>
      </c>
      <c r="S80" s="346">
        <v>7</v>
      </c>
      <c r="T80" s="346">
        <v>7</v>
      </c>
      <c r="U80" s="320"/>
      <c r="V80" s="320"/>
      <c r="W80" s="320"/>
      <c r="X80" s="320"/>
    </row>
    <row r="81" spans="1:24" s="303" customFormat="1" ht="17.25" customHeight="1">
      <c r="A81" s="306"/>
      <c r="B81" s="332" t="s">
        <v>823</v>
      </c>
      <c r="C81" s="310" t="s">
        <v>94</v>
      </c>
      <c r="D81" s="311">
        <v>16</v>
      </c>
      <c r="E81" s="311">
        <v>16</v>
      </c>
      <c r="F81" s="311">
        <v>16</v>
      </c>
      <c r="G81" s="347">
        <v>16</v>
      </c>
      <c r="H81" s="347">
        <v>16</v>
      </c>
      <c r="I81" s="505">
        <v>16</v>
      </c>
      <c r="J81" s="347">
        <v>16</v>
      </c>
      <c r="K81" s="311">
        <v>15</v>
      </c>
      <c r="L81" s="311">
        <v>15</v>
      </c>
      <c r="M81" s="311">
        <v>15</v>
      </c>
      <c r="N81" s="311">
        <v>15</v>
      </c>
      <c r="O81" s="311">
        <v>15</v>
      </c>
      <c r="P81" s="311">
        <v>15</v>
      </c>
      <c r="Q81" s="311">
        <v>15</v>
      </c>
      <c r="R81" s="311">
        <v>16</v>
      </c>
      <c r="S81" s="311">
        <v>16</v>
      </c>
      <c r="T81" s="311">
        <v>16</v>
      </c>
      <c r="U81" s="320"/>
      <c r="V81" s="320"/>
      <c r="W81" s="320"/>
      <c r="X81" s="320"/>
    </row>
    <row r="82" spans="1:24" s="303" customFormat="1" ht="17.25" customHeight="1">
      <c r="A82" s="306"/>
      <c r="B82" s="308" t="s">
        <v>833</v>
      </c>
      <c r="C82" s="310" t="s">
        <v>94</v>
      </c>
      <c r="D82" s="311">
        <v>11</v>
      </c>
      <c r="E82" s="311">
        <v>9</v>
      </c>
      <c r="F82" s="311">
        <v>9</v>
      </c>
      <c r="G82" s="347">
        <v>5</v>
      </c>
      <c r="H82" s="347">
        <v>9</v>
      </c>
      <c r="I82" s="505">
        <v>9</v>
      </c>
      <c r="J82" s="347">
        <v>8</v>
      </c>
      <c r="K82" s="311">
        <v>9</v>
      </c>
      <c r="L82" s="311">
        <v>10</v>
      </c>
      <c r="M82" s="311">
        <v>13</v>
      </c>
      <c r="N82" s="311">
        <v>13</v>
      </c>
      <c r="O82" s="311">
        <v>13</v>
      </c>
      <c r="P82" s="311">
        <v>13</v>
      </c>
      <c r="Q82" s="311">
        <v>14</v>
      </c>
      <c r="R82" s="311">
        <v>16</v>
      </c>
      <c r="S82" s="311">
        <v>16</v>
      </c>
      <c r="T82" s="311">
        <v>16</v>
      </c>
      <c r="U82" s="320"/>
      <c r="V82" s="320"/>
      <c r="W82" s="320"/>
      <c r="X82" s="320"/>
    </row>
    <row r="83" spans="1:24" s="303" customFormat="1" ht="17.25" customHeight="1">
      <c r="A83" s="306"/>
      <c r="B83" s="308" t="s">
        <v>834</v>
      </c>
      <c r="C83" s="310" t="s">
        <v>94</v>
      </c>
      <c r="D83" s="311">
        <v>9</v>
      </c>
      <c r="E83" s="311">
        <v>12</v>
      </c>
      <c r="F83" s="311">
        <v>14</v>
      </c>
      <c r="G83" s="347">
        <v>14</v>
      </c>
      <c r="H83" s="347">
        <v>16</v>
      </c>
      <c r="I83" s="505">
        <v>14</v>
      </c>
      <c r="J83" s="347">
        <v>14</v>
      </c>
      <c r="K83" s="311">
        <v>13</v>
      </c>
      <c r="L83" s="311">
        <v>13</v>
      </c>
      <c r="M83" s="311">
        <v>14</v>
      </c>
      <c r="N83" s="311">
        <v>14</v>
      </c>
      <c r="O83" s="311">
        <v>14</v>
      </c>
      <c r="P83" s="311">
        <v>14</v>
      </c>
      <c r="Q83" s="311">
        <v>14</v>
      </c>
      <c r="R83" s="311">
        <v>15</v>
      </c>
      <c r="S83" s="311">
        <v>15</v>
      </c>
      <c r="T83" s="311">
        <v>15</v>
      </c>
      <c r="U83" s="320"/>
      <c r="V83" s="320"/>
      <c r="W83" s="320"/>
      <c r="X83" s="320"/>
    </row>
    <row r="84" spans="1:24" s="303" customFormat="1" ht="17.25" customHeight="1">
      <c r="A84" s="306"/>
      <c r="B84" s="308" t="s">
        <v>835</v>
      </c>
      <c r="C84" s="310" t="s">
        <v>94</v>
      </c>
      <c r="D84" s="311">
        <v>10</v>
      </c>
      <c r="E84" s="311">
        <v>9</v>
      </c>
      <c r="F84" s="311">
        <v>9</v>
      </c>
      <c r="G84" s="347">
        <v>8</v>
      </c>
      <c r="H84" s="347">
        <v>8</v>
      </c>
      <c r="I84" s="505">
        <v>6</v>
      </c>
      <c r="J84" s="347">
        <v>6</v>
      </c>
      <c r="K84" s="311">
        <v>8</v>
      </c>
      <c r="L84" s="311">
        <v>10</v>
      </c>
      <c r="M84" s="311">
        <v>13</v>
      </c>
      <c r="N84" s="311">
        <v>13</v>
      </c>
      <c r="O84" s="311">
        <v>13</v>
      </c>
      <c r="P84" s="311">
        <v>14</v>
      </c>
      <c r="Q84" s="311">
        <v>15</v>
      </c>
      <c r="R84" s="311">
        <v>15</v>
      </c>
      <c r="S84" s="311">
        <v>15</v>
      </c>
      <c r="T84" s="311">
        <v>16</v>
      </c>
      <c r="U84" s="320"/>
      <c r="V84" s="320"/>
      <c r="W84" s="320"/>
      <c r="X84" s="320"/>
    </row>
    <row r="85" spans="1:24" s="303" customFormat="1" ht="17.25" customHeight="1">
      <c r="A85" s="306"/>
      <c r="B85" s="308" t="s">
        <v>836</v>
      </c>
      <c r="C85" s="310" t="s">
        <v>94</v>
      </c>
      <c r="D85" s="311">
        <v>4</v>
      </c>
      <c r="E85" s="311">
        <v>11</v>
      </c>
      <c r="F85" s="311">
        <v>10</v>
      </c>
      <c r="G85" s="347">
        <v>9</v>
      </c>
      <c r="H85" s="347">
        <v>9</v>
      </c>
      <c r="I85" s="505">
        <v>7</v>
      </c>
      <c r="J85" s="347">
        <v>9</v>
      </c>
      <c r="K85" s="311">
        <v>9</v>
      </c>
      <c r="L85" s="311">
        <v>10</v>
      </c>
      <c r="M85" s="311">
        <v>13</v>
      </c>
      <c r="N85" s="311">
        <v>13</v>
      </c>
      <c r="O85" s="311">
        <v>13</v>
      </c>
      <c r="P85" s="311">
        <v>14</v>
      </c>
      <c r="Q85" s="311">
        <v>15</v>
      </c>
      <c r="R85" s="311">
        <v>15</v>
      </c>
      <c r="S85" s="311">
        <v>16</v>
      </c>
      <c r="T85" s="311">
        <v>16</v>
      </c>
      <c r="U85" s="320"/>
      <c r="V85" s="320"/>
      <c r="W85" s="320"/>
      <c r="X85" s="320"/>
    </row>
    <row r="86" spans="1:24" s="303" customFormat="1" ht="17.25" customHeight="1">
      <c r="A86" s="306"/>
      <c r="B86" s="308" t="s">
        <v>837</v>
      </c>
      <c r="C86" s="310" t="s">
        <v>94</v>
      </c>
      <c r="D86" s="311">
        <v>11</v>
      </c>
      <c r="E86" s="311">
        <v>9</v>
      </c>
      <c r="F86" s="311">
        <v>8</v>
      </c>
      <c r="G86" s="347">
        <v>8</v>
      </c>
      <c r="H86" s="347">
        <v>3</v>
      </c>
      <c r="I86" s="505">
        <v>4</v>
      </c>
      <c r="J86" s="347">
        <v>4</v>
      </c>
      <c r="K86" s="311">
        <v>5</v>
      </c>
      <c r="L86" s="311">
        <v>6</v>
      </c>
      <c r="M86" s="311">
        <v>7</v>
      </c>
      <c r="N86" s="311">
        <v>7</v>
      </c>
      <c r="O86" s="311">
        <v>7</v>
      </c>
      <c r="P86" s="311">
        <v>7</v>
      </c>
      <c r="Q86" s="311">
        <v>7</v>
      </c>
      <c r="R86" s="311">
        <v>8</v>
      </c>
      <c r="S86" s="311">
        <v>10</v>
      </c>
      <c r="T86" s="311">
        <v>10</v>
      </c>
      <c r="U86" s="320"/>
      <c r="V86" s="320"/>
      <c r="W86" s="320"/>
      <c r="X86" s="320"/>
    </row>
    <row r="87" spans="1:24" s="303" customFormat="1" ht="17.25" customHeight="1">
      <c r="A87" s="306"/>
      <c r="B87" s="308" t="s">
        <v>838</v>
      </c>
      <c r="C87" s="310" t="s">
        <v>94</v>
      </c>
      <c r="D87" s="311">
        <v>17</v>
      </c>
      <c r="E87" s="311">
        <v>17</v>
      </c>
      <c r="F87" s="311">
        <v>17</v>
      </c>
      <c r="G87" s="347">
        <v>14</v>
      </c>
      <c r="H87" s="347">
        <v>14</v>
      </c>
      <c r="I87" s="505">
        <v>12</v>
      </c>
      <c r="J87" s="347">
        <v>12</v>
      </c>
      <c r="K87" s="311">
        <v>12</v>
      </c>
      <c r="L87" s="311">
        <v>12</v>
      </c>
      <c r="M87" s="311">
        <v>14</v>
      </c>
      <c r="N87" s="311">
        <v>14</v>
      </c>
      <c r="O87" s="311">
        <v>14</v>
      </c>
      <c r="P87" s="311">
        <v>14</v>
      </c>
      <c r="Q87" s="311">
        <v>15</v>
      </c>
      <c r="R87" s="311">
        <v>15</v>
      </c>
      <c r="S87" s="311">
        <v>15</v>
      </c>
      <c r="T87" s="311">
        <v>15</v>
      </c>
      <c r="U87" s="320"/>
      <c r="V87" s="320"/>
      <c r="W87" s="320"/>
      <c r="X87" s="320"/>
    </row>
    <row r="88" spans="1:24" s="303" customFormat="1" ht="17.25" customHeight="1">
      <c r="A88" s="306"/>
      <c r="B88" s="308" t="s">
        <v>839</v>
      </c>
      <c r="C88" s="310" t="s">
        <v>94</v>
      </c>
      <c r="D88" s="311">
        <v>9</v>
      </c>
      <c r="E88" s="311">
        <v>9</v>
      </c>
      <c r="F88" s="311">
        <v>9</v>
      </c>
      <c r="G88" s="347">
        <v>8</v>
      </c>
      <c r="H88" s="347">
        <v>8</v>
      </c>
      <c r="I88" s="505">
        <v>7</v>
      </c>
      <c r="J88" s="347">
        <v>7</v>
      </c>
      <c r="K88" s="311">
        <v>3</v>
      </c>
      <c r="L88" s="311">
        <v>4</v>
      </c>
      <c r="M88" s="311">
        <v>5</v>
      </c>
      <c r="N88" s="311">
        <v>5</v>
      </c>
      <c r="O88" s="311">
        <v>5</v>
      </c>
      <c r="P88" s="311">
        <v>5</v>
      </c>
      <c r="Q88" s="311">
        <v>6</v>
      </c>
      <c r="R88" s="311">
        <v>6</v>
      </c>
      <c r="S88" s="311">
        <v>7</v>
      </c>
      <c r="T88" s="311">
        <v>7</v>
      </c>
      <c r="U88" s="320"/>
      <c r="V88" s="320"/>
      <c r="W88" s="320"/>
      <c r="X88" s="320"/>
    </row>
    <row r="89" spans="1:24" s="303" customFormat="1" ht="17.25" customHeight="1">
      <c r="A89" s="306"/>
      <c r="B89" s="308" t="s">
        <v>840</v>
      </c>
      <c r="C89" s="310" t="s">
        <v>94</v>
      </c>
      <c r="D89" s="311">
        <v>7</v>
      </c>
      <c r="E89" s="311">
        <v>7</v>
      </c>
      <c r="F89" s="311">
        <v>8</v>
      </c>
      <c r="G89" s="347">
        <v>6</v>
      </c>
      <c r="H89" s="347">
        <v>7</v>
      </c>
      <c r="I89" s="505">
        <v>6</v>
      </c>
      <c r="J89" s="347">
        <v>7</v>
      </c>
      <c r="K89" s="311">
        <v>5</v>
      </c>
      <c r="L89" s="311">
        <v>5</v>
      </c>
      <c r="M89" s="311">
        <v>5</v>
      </c>
      <c r="N89" s="311">
        <v>5</v>
      </c>
      <c r="O89" s="311">
        <v>5</v>
      </c>
      <c r="P89" s="311">
        <v>5</v>
      </c>
      <c r="Q89" s="311">
        <v>5</v>
      </c>
      <c r="R89" s="311">
        <v>5</v>
      </c>
      <c r="S89" s="311">
        <v>5</v>
      </c>
      <c r="T89" s="311">
        <v>5</v>
      </c>
      <c r="U89" s="320"/>
      <c r="V89" s="320"/>
      <c r="W89" s="320"/>
      <c r="X89" s="320"/>
    </row>
    <row r="90" spans="1:24" s="303" customFormat="1" ht="17.25" customHeight="1">
      <c r="A90" s="306"/>
      <c r="B90" s="332" t="s">
        <v>841</v>
      </c>
      <c r="C90" s="310" t="s">
        <v>94</v>
      </c>
      <c r="D90" s="311">
        <v>41</v>
      </c>
      <c r="E90" s="311">
        <v>44</v>
      </c>
      <c r="F90" s="311">
        <v>47</v>
      </c>
      <c r="G90" s="311">
        <v>49</v>
      </c>
      <c r="H90" s="311">
        <v>46</v>
      </c>
      <c r="I90" s="494">
        <v>46</v>
      </c>
      <c r="J90" s="311">
        <v>46</v>
      </c>
      <c r="K90" s="311">
        <v>46</v>
      </c>
      <c r="L90" s="311">
        <v>46</v>
      </c>
      <c r="M90" s="311">
        <v>46</v>
      </c>
      <c r="N90" s="311">
        <v>46</v>
      </c>
      <c r="O90" s="311">
        <v>46</v>
      </c>
      <c r="P90" s="311">
        <v>46</v>
      </c>
      <c r="Q90" s="311">
        <v>46</v>
      </c>
      <c r="R90" s="311">
        <v>46</v>
      </c>
      <c r="S90" s="311">
        <v>46</v>
      </c>
      <c r="T90" s="327">
        <v>46</v>
      </c>
      <c r="U90" s="320"/>
      <c r="V90" s="320"/>
      <c r="W90" s="320"/>
      <c r="X90" s="320"/>
    </row>
    <row r="91" spans="1:24" s="325" customFormat="1" ht="17.25" customHeight="1">
      <c r="A91" s="306"/>
      <c r="B91" s="348" t="s">
        <v>842</v>
      </c>
      <c r="C91" s="310" t="s">
        <v>94</v>
      </c>
      <c r="D91" s="360">
        <f>D203+D240+D269+D302</f>
        <v>111</v>
      </c>
      <c r="E91" s="360">
        <f t="shared" ref="E91:T91" si="18">E203+E240+E269+E302</f>
        <v>101</v>
      </c>
      <c r="F91" s="360">
        <f t="shared" si="18"/>
        <v>103</v>
      </c>
      <c r="G91" s="360">
        <f t="shared" si="18"/>
        <v>114</v>
      </c>
      <c r="H91" s="360">
        <f t="shared" si="18"/>
        <v>107</v>
      </c>
      <c r="I91" s="501">
        <f t="shared" si="18"/>
        <v>96</v>
      </c>
      <c r="J91" s="360">
        <f t="shared" si="18"/>
        <v>106</v>
      </c>
      <c r="K91" s="360">
        <f t="shared" si="18"/>
        <v>101</v>
      </c>
      <c r="L91" s="360">
        <f t="shared" si="18"/>
        <v>103</v>
      </c>
      <c r="M91" s="360">
        <f t="shared" si="18"/>
        <v>103</v>
      </c>
      <c r="N91" s="360">
        <f t="shared" si="18"/>
        <v>107</v>
      </c>
      <c r="O91" s="360">
        <f t="shared" si="18"/>
        <v>107</v>
      </c>
      <c r="P91" s="360">
        <f t="shared" si="18"/>
        <v>107</v>
      </c>
      <c r="Q91" s="360">
        <f t="shared" si="18"/>
        <v>111</v>
      </c>
      <c r="R91" s="360">
        <f t="shared" si="18"/>
        <v>114</v>
      </c>
      <c r="S91" s="360">
        <f t="shared" si="18"/>
        <v>119</v>
      </c>
      <c r="T91" s="360">
        <f t="shared" si="18"/>
        <v>122</v>
      </c>
      <c r="U91" s="324"/>
      <c r="V91" s="324"/>
      <c r="W91" s="324"/>
      <c r="X91" s="324"/>
    </row>
    <row r="92" spans="1:24" s="303" customFormat="1" ht="17.25" customHeight="1">
      <c r="A92" s="306"/>
      <c r="B92" s="332" t="s">
        <v>843</v>
      </c>
      <c r="C92" s="310" t="s">
        <v>94</v>
      </c>
      <c r="D92" s="311"/>
      <c r="E92" s="311"/>
      <c r="F92" s="311"/>
      <c r="G92" s="311"/>
      <c r="H92" s="311"/>
      <c r="I92" s="494"/>
      <c r="J92" s="311"/>
      <c r="K92" s="311"/>
      <c r="L92" s="311"/>
      <c r="M92" s="311"/>
      <c r="N92" s="311"/>
      <c r="O92" s="311"/>
      <c r="P92" s="311"/>
      <c r="Q92" s="311"/>
      <c r="R92" s="311"/>
      <c r="S92" s="311"/>
      <c r="T92" s="327"/>
      <c r="U92" s="320"/>
      <c r="V92" s="320"/>
      <c r="W92" s="320"/>
      <c r="X92" s="320"/>
    </row>
    <row r="93" spans="1:24" s="303" customFormat="1" ht="17.25" customHeight="1">
      <c r="A93" s="306"/>
      <c r="B93" s="332" t="s">
        <v>844</v>
      </c>
      <c r="C93" s="310" t="s">
        <v>94</v>
      </c>
      <c r="D93" s="311">
        <f t="shared" ref="D93:T99" si="19">D205+D242+D271+D303</f>
        <v>14</v>
      </c>
      <c r="E93" s="311">
        <f t="shared" si="19"/>
        <v>15</v>
      </c>
      <c r="F93" s="311">
        <f t="shared" si="19"/>
        <v>15</v>
      </c>
      <c r="G93" s="311">
        <f t="shared" si="19"/>
        <v>14</v>
      </c>
      <c r="H93" s="311">
        <f t="shared" si="19"/>
        <v>15</v>
      </c>
      <c r="I93" s="494">
        <f t="shared" si="19"/>
        <v>15</v>
      </c>
      <c r="J93" s="311">
        <f t="shared" si="19"/>
        <v>15</v>
      </c>
      <c r="K93" s="311">
        <f t="shared" si="19"/>
        <v>15</v>
      </c>
      <c r="L93" s="311">
        <f t="shared" si="19"/>
        <v>15</v>
      </c>
      <c r="M93" s="311">
        <f t="shared" si="19"/>
        <v>15</v>
      </c>
      <c r="N93" s="311">
        <f t="shared" si="19"/>
        <v>15</v>
      </c>
      <c r="O93" s="311">
        <f t="shared" si="19"/>
        <v>15</v>
      </c>
      <c r="P93" s="311">
        <f t="shared" si="19"/>
        <v>15</v>
      </c>
      <c r="Q93" s="311">
        <f t="shared" si="19"/>
        <v>15</v>
      </c>
      <c r="R93" s="311">
        <f t="shared" si="19"/>
        <v>15</v>
      </c>
      <c r="S93" s="311">
        <f t="shared" si="19"/>
        <v>15</v>
      </c>
      <c r="T93" s="311">
        <f t="shared" si="19"/>
        <v>15</v>
      </c>
      <c r="U93" s="320"/>
      <c r="V93" s="320"/>
      <c r="W93" s="320"/>
      <c r="X93" s="320"/>
    </row>
    <row r="94" spans="1:24" s="303" customFormat="1" ht="17.25" customHeight="1">
      <c r="A94" s="306"/>
      <c r="B94" s="349" t="s">
        <v>138</v>
      </c>
      <c r="C94" s="310" t="s">
        <v>94</v>
      </c>
      <c r="D94" s="311">
        <f t="shared" si="19"/>
        <v>6</v>
      </c>
      <c r="E94" s="311">
        <f t="shared" si="19"/>
        <v>6</v>
      </c>
      <c r="F94" s="311">
        <f t="shared" si="19"/>
        <v>6</v>
      </c>
      <c r="G94" s="311">
        <f t="shared" si="19"/>
        <v>6</v>
      </c>
      <c r="H94" s="311">
        <f t="shared" si="19"/>
        <v>7</v>
      </c>
      <c r="I94" s="494">
        <f t="shared" si="19"/>
        <v>7</v>
      </c>
      <c r="J94" s="311">
        <f t="shared" si="19"/>
        <v>7</v>
      </c>
      <c r="K94" s="311">
        <f t="shared" si="19"/>
        <v>6</v>
      </c>
      <c r="L94" s="311">
        <f t="shared" si="19"/>
        <v>6</v>
      </c>
      <c r="M94" s="311">
        <f t="shared" si="19"/>
        <v>6</v>
      </c>
      <c r="N94" s="311">
        <f t="shared" si="19"/>
        <v>6</v>
      </c>
      <c r="O94" s="311">
        <f t="shared" si="19"/>
        <v>6</v>
      </c>
      <c r="P94" s="311">
        <f t="shared" si="19"/>
        <v>6</v>
      </c>
      <c r="Q94" s="311">
        <f t="shared" si="19"/>
        <v>6</v>
      </c>
      <c r="R94" s="311">
        <f t="shared" si="19"/>
        <v>6</v>
      </c>
      <c r="S94" s="311">
        <f t="shared" si="19"/>
        <v>6</v>
      </c>
      <c r="T94" s="311">
        <f t="shared" si="19"/>
        <v>6</v>
      </c>
      <c r="U94" s="320"/>
      <c r="V94" s="320"/>
      <c r="W94" s="320"/>
      <c r="X94" s="320"/>
    </row>
    <row r="95" spans="1:24" s="303" customFormat="1" ht="17.25" customHeight="1">
      <c r="A95" s="306"/>
      <c r="B95" s="349" t="s">
        <v>139</v>
      </c>
      <c r="C95" s="310" t="s">
        <v>94</v>
      </c>
      <c r="D95" s="311">
        <f t="shared" si="19"/>
        <v>5</v>
      </c>
      <c r="E95" s="311">
        <f t="shared" si="19"/>
        <v>5</v>
      </c>
      <c r="F95" s="311">
        <f t="shared" si="19"/>
        <v>5</v>
      </c>
      <c r="G95" s="311">
        <f t="shared" si="19"/>
        <v>5</v>
      </c>
      <c r="H95" s="311">
        <f t="shared" si="19"/>
        <v>5</v>
      </c>
      <c r="I95" s="494">
        <f t="shared" si="19"/>
        <v>5</v>
      </c>
      <c r="J95" s="311">
        <f t="shared" si="19"/>
        <v>5</v>
      </c>
      <c r="K95" s="311">
        <f t="shared" si="19"/>
        <v>7</v>
      </c>
      <c r="L95" s="311">
        <f t="shared" si="19"/>
        <v>7</v>
      </c>
      <c r="M95" s="311">
        <f t="shared" si="19"/>
        <v>7</v>
      </c>
      <c r="N95" s="311">
        <f t="shared" si="19"/>
        <v>7</v>
      </c>
      <c r="O95" s="311">
        <f t="shared" si="19"/>
        <v>7</v>
      </c>
      <c r="P95" s="311">
        <f t="shared" si="19"/>
        <v>7</v>
      </c>
      <c r="Q95" s="311">
        <f t="shared" si="19"/>
        <v>7</v>
      </c>
      <c r="R95" s="311">
        <f t="shared" si="19"/>
        <v>8</v>
      </c>
      <c r="S95" s="311">
        <f t="shared" si="19"/>
        <v>8</v>
      </c>
      <c r="T95" s="311">
        <f t="shared" si="19"/>
        <v>8</v>
      </c>
      <c r="U95" s="320"/>
      <c r="V95" s="320"/>
      <c r="W95" s="320"/>
      <c r="X95" s="320"/>
    </row>
    <row r="96" spans="1:24" s="303" customFormat="1" ht="17.25" customHeight="1">
      <c r="A96" s="306"/>
      <c r="B96" s="349" t="s">
        <v>140</v>
      </c>
      <c r="C96" s="310" t="s">
        <v>94</v>
      </c>
      <c r="D96" s="311">
        <f t="shared" si="19"/>
        <v>3</v>
      </c>
      <c r="E96" s="311">
        <f t="shared" si="19"/>
        <v>3</v>
      </c>
      <c r="F96" s="311">
        <f t="shared" si="19"/>
        <v>3</v>
      </c>
      <c r="G96" s="311">
        <f t="shared" si="19"/>
        <v>3</v>
      </c>
      <c r="H96" s="311">
        <f t="shared" si="19"/>
        <v>4</v>
      </c>
      <c r="I96" s="494">
        <f t="shared" si="19"/>
        <v>4</v>
      </c>
      <c r="J96" s="311">
        <f t="shared" si="19"/>
        <v>4</v>
      </c>
      <c r="K96" s="311">
        <f t="shared" si="19"/>
        <v>5</v>
      </c>
      <c r="L96" s="311">
        <f t="shared" si="19"/>
        <v>5</v>
      </c>
      <c r="M96" s="311">
        <f t="shared" si="19"/>
        <v>5</v>
      </c>
      <c r="N96" s="311">
        <f t="shared" si="19"/>
        <v>5</v>
      </c>
      <c r="O96" s="311">
        <f t="shared" si="19"/>
        <v>5</v>
      </c>
      <c r="P96" s="311">
        <f t="shared" si="19"/>
        <v>5</v>
      </c>
      <c r="Q96" s="311">
        <f t="shared" si="19"/>
        <v>9</v>
      </c>
      <c r="R96" s="311">
        <f t="shared" si="19"/>
        <v>9</v>
      </c>
      <c r="S96" s="311">
        <f t="shared" si="19"/>
        <v>9</v>
      </c>
      <c r="T96" s="311">
        <f t="shared" si="19"/>
        <v>9</v>
      </c>
      <c r="U96" s="320"/>
      <c r="V96" s="320"/>
      <c r="W96" s="320"/>
      <c r="X96" s="320"/>
    </row>
    <row r="97" spans="1:24" s="303" customFormat="1" ht="17.25" customHeight="1">
      <c r="A97" s="306"/>
      <c r="B97" s="349" t="s">
        <v>141</v>
      </c>
      <c r="C97" s="310" t="s">
        <v>94</v>
      </c>
      <c r="D97" s="311">
        <f t="shared" si="19"/>
        <v>11</v>
      </c>
      <c r="E97" s="311">
        <f t="shared" si="19"/>
        <v>10</v>
      </c>
      <c r="F97" s="311">
        <f t="shared" si="19"/>
        <v>10</v>
      </c>
      <c r="G97" s="311">
        <f t="shared" si="19"/>
        <v>11</v>
      </c>
      <c r="H97" s="311">
        <f t="shared" si="19"/>
        <v>11</v>
      </c>
      <c r="I97" s="494">
        <f t="shared" si="19"/>
        <v>7</v>
      </c>
      <c r="J97" s="311">
        <f t="shared" si="19"/>
        <v>9</v>
      </c>
      <c r="K97" s="311">
        <f t="shared" si="19"/>
        <v>9</v>
      </c>
      <c r="L97" s="311">
        <f t="shared" si="19"/>
        <v>9</v>
      </c>
      <c r="M97" s="311">
        <f t="shared" si="19"/>
        <v>9</v>
      </c>
      <c r="N97" s="311">
        <f t="shared" si="19"/>
        <v>9</v>
      </c>
      <c r="O97" s="311">
        <f t="shared" si="19"/>
        <v>10</v>
      </c>
      <c r="P97" s="311">
        <f t="shared" si="19"/>
        <v>10</v>
      </c>
      <c r="Q97" s="311">
        <f t="shared" si="19"/>
        <v>10</v>
      </c>
      <c r="R97" s="311">
        <f t="shared" si="19"/>
        <v>10</v>
      </c>
      <c r="S97" s="311">
        <f t="shared" si="19"/>
        <v>10</v>
      </c>
      <c r="T97" s="311">
        <f t="shared" si="19"/>
        <v>10</v>
      </c>
      <c r="U97" s="320"/>
      <c r="V97" s="320"/>
      <c r="W97" s="320"/>
      <c r="X97" s="320"/>
    </row>
    <row r="98" spans="1:24" s="303" customFormat="1" ht="17.25" customHeight="1">
      <c r="A98" s="306"/>
      <c r="B98" s="349" t="s">
        <v>142</v>
      </c>
      <c r="C98" s="310" t="s">
        <v>94</v>
      </c>
      <c r="D98" s="311">
        <f t="shared" si="19"/>
        <v>9</v>
      </c>
      <c r="E98" s="311">
        <f t="shared" si="19"/>
        <v>8</v>
      </c>
      <c r="F98" s="311">
        <f t="shared" si="19"/>
        <v>9</v>
      </c>
      <c r="G98" s="311">
        <f t="shared" si="19"/>
        <v>9</v>
      </c>
      <c r="H98" s="311">
        <f t="shared" si="19"/>
        <v>9</v>
      </c>
      <c r="I98" s="494">
        <f t="shared" si="19"/>
        <v>9</v>
      </c>
      <c r="J98" s="311">
        <f t="shared" si="19"/>
        <v>11</v>
      </c>
      <c r="K98" s="311">
        <f t="shared" si="19"/>
        <v>11</v>
      </c>
      <c r="L98" s="311">
        <f t="shared" si="19"/>
        <v>11</v>
      </c>
      <c r="M98" s="311">
        <f t="shared" si="19"/>
        <v>11</v>
      </c>
      <c r="N98" s="311">
        <f t="shared" si="19"/>
        <v>11</v>
      </c>
      <c r="O98" s="311">
        <f t="shared" si="19"/>
        <v>11</v>
      </c>
      <c r="P98" s="311">
        <f t="shared" si="19"/>
        <v>11</v>
      </c>
      <c r="Q98" s="311">
        <f t="shared" si="19"/>
        <v>11</v>
      </c>
      <c r="R98" s="311">
        <f t="shared" si="19"/>
        <v>11</v>
      </c>
      <c r="S98" s="311">
        <f t="shared" si="19"/>
        <v>11</v>
      </c>
      <c r="T98" s="311">
        <f t="shared" si="19"/>
        <v>11</v>
      </c>
      <c r="U98" s="320"/>
      <c r="V98" s="320"/>
      <c r="W98" s="320"/>
      <c r="X98" s="320"/>
    </row>
    <row r="99" spans="1:24" s="303" customFormat="1" ht="17.25" customHeight="1">
      <c r="A99" s="306"/>
      <c r="B99" s="349" t="s">
        <v>143</v>
      </c>
      <c r="C99" s="310" t="s">
        <v>94</v>
      </c>
      <c r="D99" s="311">
        <f t="shared" si="19"/>
        <v>63</v>
      </c>
      <c r="E99" s="311">
        <f t="shared" si="19"/>
        <v>54</v>
      </c>
      <c r="F99" s="311">
        <f t="shared" si="19"/>
        <v>55</v>
      </c>
      <c r="G99" s="311">
        <f t="shared" si="19"/>
        <v>66</v>
      </c>
      <c r="H99" s="311">
        <f t="shared" si="19"/>
        <v>56</v>
      </c>
      <c r="I99" s="494">
        <f t="shared" si="19"/>
        <v>49</v>
      </c>
      <c r="J99" s="311">
        <f t="shared" si="19"/>
        <v>55</v>
      </c>
      <c r="K99" s="311">
        <f t="shared" si="19"/>
        <v>48</v>
      </c>
      <c r="L99" s="311">
        <f t="shared" si="19"/>
        <v>50</v>
      </c>
      <c r="M99" s="311">
        <f t="shared" si="19"/>
        <v>50</v>
      </c>
      <c r="N99" s="311">
        <f t="shared" si="19"/>
        <v>54</v>
      </c>
      <c r="O99" s="311">
        <f t="shared" si="19"/>
        <v>53</v>
      </c>
      <c r="P99" s="311">
        <f t="shared" si="19"/>
        <v>53</v>
      </c>
      <c r="Q99" s="311">
        <f t="shared" si="19"/>
        <v>53</v>
      </c>
      <c r="R99" s="311">
        <f t="shared" si="19"/>
        <v>55</v>
      </c>
      <c r="S99" s="311">
        <f t="shared" si="19"/>
        <v>60</v>
      </c>
      <c r="T99" s="311">
        <f t="shared" si="19"/>
        <v>63</v>
      </c>
      <c r="U99" s="320"/>
      <c r="V99" s="320"/>
      <c r="W99" s="320"/>
      <c r="X99" s="320"/>
    </row>
    <row r="100" spans="1:24" s="303" customFormat="1" ht="17.25" customHeight="1">
      <c r="A100" s="350" t="s">
        <v>500</v>
      </c>
      <c r="B100" s="350" t="s">
        <v>144</v>
      </c>
      <c r="C100" s="310"/>
      <c r="D100" s="311"/>
      <c r="E100" s="311"/>
      <c r="F100" s="311"/>
      <c r="G100" s="311"/>
      <c r="H100" s="311"/>
      <c r="I100" s="494"/>
      <c r="J100" s="311"/>
      <c r="K100" s="311"/>
      <c r="L100" s="311"/>
      <c r="M100" s="311"/>
      <c r="N100" s="311"/>
      <c r="O100" s="311"/>
      <c r="P100" s="311"/>
      <c r="Q100" s="311"/>
      <c r="R100" s="311"/>
      <c r="S100" s="311"/>
      <c r="T100" s="327"/>
      <c r="U100" s="320"/>
      <c r="V100" s="320"/>
      <c r="W100" s="320"/>
      <c r="X100" s="320"/>
    </row>
    <row r="101" spans="1:24" s="303" customFormat="1" ht="17.25" customHeight="1">
      <c r="A101" s="340"/>
      <c r="B101" s="340" t="s">
        <v>845</v>
      </c>
      <c r="C101" s="340" t="s">
        <v>846</v>
      </c>
      <c r="D101" s="447">
        <f t="shared" ref="D101:T110" si="20">D312+D334+D356+D982</f>
        <v>180875.8</v>
      </c>
      <c r="E101" s="447">
        <f t="shared" si="20"/>
        <v>180875.8</v>
      </c>
      <c r="F101" s="447">
        <f t="shared" si="20"/>
        <v>180875.8</v>
      </c>
      <c r="G101" s="447">
        <f t="shared" si="20"/>
        <v>180875.8</v>
      </c>
      <c r="H101" s="447">
        <f t="shared" si="20"/>
        <v>182320.8</v>
      </c>
      <c r="I101" s="503">
        <f t="shared" si="20"/>
        <v>182320.8</v>
      </c>
      <c r="J101" s="447">
        <f t="shared" si="20"/>
        <v>183427.8</v>
      </c>
      <c r="K101" s="447">
        <f t="shared" si="20"/>
        <v>434234</v>
      </c>
      <c r="L101" s="447">
        <f t="shared" si="20"/>
        <v>434234</v>
      </c>
      <c r="M101" s="447">
        <f t="shared" si="20"/>
        <v>434234</v>
      </c>
      <c r="N101" s="447">
        <f t="shared" si="20"/>
        <v>436858</v>
      </c>
      <c r="O101" s="447">
        <f t="shared" si="20"/>
        <v>503658</v>
      </c>
      <c r="P101" s="447">
        <f t="shared" si="20"/>
        <v>503658</v>
      </c>
      <c r="Q101" s="447">
        <f t="shared" si="20"/>
        <v>503658</v>
      </c>
      <c r="R101" s="447">
        <f t="shared" si="20"/>
        <v>503658</v>
      </c>
      <c r="S101" s="447">
        <f t="shared" si="20"/>
        <v>503658</v>
      </c>
      <c r="T101" s="447">
        <f t="shared" si="20"/>
        <v>503657.8</v>
      </c>
      <c r="U101" s="320"/>
      <c r="V101" s="320"/>
      <c r="W101" s="320"/>
      <c r="X101" s="320"/>
    </row>
    <row r="102" spans="1:24" s="303" customFormat="1" ht="17.25" customHeight="1">
      <c r="A102" s="340"/>
      <c r="B102" s="340" t="s">
        <v>847</v>
      </c>
      <c r="C102" s="340" t="s">
        <v>846</v>
      </c>
      <c r="D102" s="447">
        <f t="shared" si="20"/>
        <v>54221</v>
      </c>
      <c r="E102" s="447">
        <f t="shared" si="20"/>
        <v>54221</v>
      </c>
      <c r="F102" s="447">
        <f t="shared" si="20"/>
        <v>55833</v>
      </c>
      <c r="G102" s="447">
        <f t="shared" si="20"/>
        <v>55833</v>
      </c>
      <c r="H102" s="447">
        <f t="shared" si="20"/>
        <v>55833</v>
      </c>
      <c r="I102" s="503">
        <f t="shared" si="20"/>
        <v>55833</v>
      </c>
      <c r="J102" s="447">
        <f t="shared" si="20"/>
        <v>57406</v>
      </c>
      <c r="K102" s="447">
        <f t="shared" si="20"/>
        <v>58706</v>
      </c>
      <c r="L102" s="447">
        <f t="shared" si="20"/>
        <v>58706</v>
      </c>
      <c r="M102" s="447">
        <f t="shared" si="20"/>
        <v>58706</v>
      </c>
      <c r="N102" s="447">
        <f t="shared" si="20"/>
        <v>59006</v>
      </c>
      <c r="O102" s="447">
        <f t="shared" si="20"/>
        <v>63279</v>
      </c>
      <c r="P102" s="447">
        <f t="shared" si="20"/>
        <v>64779</v>
      </c>
      <c r="Q102" s="447">
        <f t="shared" si="20"/>
        <v>65379</v>
      </c>
      <c r="R102" s="447">
        <f t="shared" si="20"/>
        <v>65579</v>
      </c>
      <c r="S102" s="447">
        <f t="shared" si="20"/>
        <v>88812</v>
      </c>
      <c r="T102" s="447">
        <f t="shared" si="20"/>
        <v>90876</v>
      </c>
      <c r="U102" s="320"/>
      <c r="V102" s="320"/>
      <c r="W102" s="320"/>
      <c r="X102" s="320"/>
    </row>
    <row r="103" spans="1:24" s="303" customFormat="1" ht="17.25" customHeight="1">
      <c r="A103" s="340"/>
      <c r="B103" s="340" t="s">
        <v>848</v>
      </c>
      <c r="C103" s="339" t="s">
        <v>846</v>
      </c>
      <c r="D103" s="447">
        <f t="shared" si="20"/>
        <v>12272</v>
      </c>
      <c r="E103" s="447">
        <f t="shared" si="20"/>
        <v>12272</v>
      </c>
      <c r="F103" s="447">
        <f t="shared" si="20"/>
        <v>12272</v>
      </c>
      <c r="G103" s="447">
        <f t="shared" si="20"/>
        <v>12582</v>
      </c>
      <c r="H103" s="447">
        <f t="shared" si="20"/>
        <v>12582</v>
      </c>
      <c r="I103" s="503">
        <f t="shared" si="20"/>
        <v>12582</v>
      </c>
      <c r="J103" s="447">
        <f t="shared" si="20"/>
        <v>12582</v>
      </c>
      <c r="K103" s="447">
        <f t="shared" si="20"/>
        <v>13882</v>
      </c>
      <c r="L103" s="447">
        <f t="shared" si="20"/>
        <v>13882</v>
      </c>
      <c r="M103" s="447">
        <f t="shared" si="20"/>
        <v>13882</v>
      </c>
      <c r="N103" s="447">
        <f t="shared" si="20"/>
        <v>13882</v>
      </c>
      <c r="O103" s="447">
        <f t="shared" si="20"/>
        <v>13882</v>
      </c>
      <c r="P103" s="447">
        <f t="shared" si="20"/>
        <v>13882</v>
      </c>
      <c r="Q103" s="447">
        <f t="shared" si="20"/>
        <v>13882</v>
      </c>
      <c r="R103" s="447">
        <f t="shared" si="20"/>
        <v>13882</v>
      </c>
      <c r="S103" s="447">
        <f t="shared" si="20"/>
        <v>21515</v>
      </c>
      <c r="T103" s="447">
        <f t="shared" si="20"/>
        <v>21515</v>
      </c>
      <c r="U103" s="320"/>
      <c r="V103" s="320"/>
      <c r="W103" s="320"/>
      <c r="X103" s="320"/>
    </row>
    <row r="104" spans="1:24" s="303" customFormat="1" ht="17.25" customHeight="1">
      <c r="A104" s="340"/>
      <c r="B104" s="351" t="s">
        <v>849</v>
      </c>
      <c r="C104" s="340" t="s">
        <v>107</v>
      </c>
      <c r="D104" s="447">
        <f t="shared" si="20"/>
        <v>129</v>
      </c>
      <c r="E104" s="447">
        <f t="shared" si="20"/>
        <v>129</v>
      </c>
      <c r="F104" s="447">
        <f t="shared" si="20"/>
        <v>129</v>
      </c>
      <c r="G104" s="447">
        <f t="shared" si="20"/>
        <v>133</v>
      </c>
      <c r="H104" s="447">
        <f t="shared" si="20"/>
        <v>133</v>
      </c>
      <c r="I104" s="503">
        <f t="shared" si="20"/>
        <v>133</v>
      </c>
      <c r="J104" s="447">
        <f t="shared" si="20"/>
        <v>133</v>
      </c>
      <c r="K104" s="447">
        <f t="shared" si="20"/>
        <v>138</v>
      </c>
      <c r="L104" s="447">
        <f t="shared" si="20"/>
        <v>138</v>
      </c>
      <c r="M104" s="447">
        <f t="shared" si="20"/>
        <v>138</v>
      </c>
      <c r="N104" s="447">
        <f t="shared" si="20"/>
        <v>138</v>
      </c>
      <c r="O104" s="447">
        <f t="shared" si="20"/>
        <v>138</v>
      </c>
      <c r="P104" s="447">
        <f t="shared" si="20"/>
        <v>138</v>
      </c>
      <c r="Q104" s="447">
        <f t="shared" si="20"/>
        <v>138</v>
      </c>
      <c r="R104" s="447">
        <f t="shared" si="20"/>
        <v>138</v>
      </c>
      <c r="S104" s="447">
        <f t="shared" si="20"/>
        <v>218</v>
      </c>
      <c r="T104" s="447">
        <f t="shared" si="20"/>
        <v>218</v>
      </c>
      <c r="U104" s="320"/>
      <c r="V104" s="320"/>
      <c r="W104" s="320"/>
      <c r="X104" s="320"/>
    </row>
    <row r="105" spans="1:24" s="303" customFormat="1" ht="17.25" customHeight="1">
      <c r="A105" s="340"/>
      <c r="B105" s="340" t="s">
        <v>850</v>
      </c>
      <c r="C105" s="339" t="s">
        <v>846</v>
      </c>
      <c r="D105" s="447">
        <f t="shared" si="20"/>
        <v>1252</v>
      </c>
      <c r="E105" s="447">
        <f t="shared" si="20"/>
        <v>1252</v>
      </c>
      <c r="F105" s="447">
        <f t="shared" si="20"/>
        <v>1252</v>
      </c>
      <c r="G105" s="447">
        <f t="shared" si="20"/>
        <v>1252</v>
      </c>
      <c r="H105" s="447">
        <f t="shared" si="20"/>
        <v>1252</v>
      </c>
      <c r="I105" s="503">
        <f t="shared" si="20"/>
        <v>1252</v>
      </c>
      <c r="J105" s="447">
        <f t="shared" si="20"/>
        <v>1252</v>
      </c>
      <c r="K105" s="447">
        <f t="shared" si="20"/>
        <v>1252</v>
      </c>
      <c r="L105" s="447">
        <f t="shared" si="20"/>
        <v>1252</v>
      </c>
      <c r="M105" s="447">
        <f t="shared" si="20"/>
        <v>1252</v>
      </c>
      <c r="N105" s="447">
        <f t="shared" si="20"/>
        <v>1432</v>
      </c>
      <c r="O105" s="447">
        <f t="shared" si="20"/>
        <v>2211</v>
      </c>
      <c r="P105" s="447">
        <f t="shared" si="20"/>
        <v>2211</v>
      </c>
      <c r="Q105" s="447">
        <f t="shared" si="20"/>
        <v>2211</v>
      </c>
      <c r="R105" s="447">
        <f t="shared" si="20"/>
        <v>2211</v>
      </c>
      <c r="S105" s="447">
        <f t="shared" si="20"/>
        <v>2211</v>
      </c>
      <c r="T105" s="447">
        <f t="shared" si="20"/>
        <v>2211</v>
      </c>
      <c r="U105" s="320"/>
      <c r="V105" s="320"/>
      <c r="W105" s="320"/>
      <c r="X105" s="320"/>
    </row>
    <row r="106" spans="1:24" s="303" customFormat="1" ht="17.25" customHeight="1">
      <c r="A106" s="340"/>
      <c r="B106" s="351" t="s">
        <v>851</v>
      </c>
      <c r="C106" s="340" t="s">
        <v>107</v>
      </c>
      <c r="D106" s="447">
        <f t="shared" si="20"/>
        <v>16</v>
      </c>
      <c r="E106" s="447">
        <f t="shared" si="20"/>
        <v>16</v>
      </c>
      <c r="F106" s="447">
        <f t="shared" si="20"/>
        <v>16</v>
      </c>
      <c r="G106" s="447">
        <f t="shared" si="20"/>
        <v>16</v>
      </c>
      <c r="H106" s="447">
        <f t="shared" si="20"/>
        <v>16</v>
      </c>
      <c r="I106" s="503">
        <f t="shared" si="20"/>
        <v>16</v>
      </c>
      <c r="J106" s="447">
        <f t="shared" si="20"/>
        <v>16</v>
      </c>
      <c r="K106" s="447">
        <f t="shared" si="20"/>
        <v>16</v>
      </c>
      <c r="L106" s="447">
        <f t="shared" si="20"/>
        <v>16</v>
      </c>
      <c r="M106" s="447">
        <f t="shared" si="20"/>
        <v>16</v>
      </c>
      <c r="N106" s="447">
        <f t="shared" si="20"/>
        <v>22</v>
      </c>
      <c r="O106" s="447">
        <f t="shared" si="20"/>
        <v>28</v>
      </c>
      <c r="P106" s="447">
        <f t="shared" si="20"/>
        <v>28</v>
      </c>
      <c r="Q106" s="447">
        <f t="shared" si="20"/>
        <v>28</v>
      </c>
      <c r="R106" s="447">
        <f t="shared" si="20"/>
        <v>28</v>
      </c>
      <c r="S106" s="447">
        <f t="shared" si="20"/>
        <v>28</v>
      </c>
      <c r="T106" s="447">
        <f t="shared" si="20"/>
        <v>28</v>
      </c>
      <c r="U106" s="320"/>
      <c r="V106" s="320"/>
      <c r="W106" s="320"/>
      <c r="X106" s="320"/>
    </row>
    <row r="107" spans="1:24" s="303" customFormat="1" ht="17.25" customHeight="1">
      <c r="A107" s="340"/>
      <c r="B107" s="340" t="s">
        <v>852</v>
      </c>
      <c r="C107" s="339" t="s">
        <v>846</v>
      </c>
      <c r="D107" s="447">
        <f t="shared" si="20"/>
        <v>3430</v>
      </c>
      <c r="E107" s="447">
        <f t="shared" si="20"/>
        <v>3430</v>
      </c>
      <c r="F107" s="447">
        <f t="shared" si="20"/>
        <v>3430</v>
      </c>
      <c r="G107" s="447">
        <f t="shared" si="20"/>
        <v>3430</v>
      </c>
      <c r="H107" s="447">
        <f t="shared" si="20"/>
        <v>3430</v>
      </c>
      <c r="I107" s="503">
        <f t="shared" si="20"/>
        <v>3430</v>
      </c>
      <c r="J107" s="447">
        <f t="shared" si="20"/>
        <v>3430</v>
      </c>
      <c r="K107" s="447">
        <f t="shared" si="20"/>
        <v>3430</v>
      </c>
      <c r="L107" s="447">
        <f t="shared" si="20"/>
        <v>3994</v>
      </c>
      <c r="M107" s="447">
        <f t="shared" si="20"/>
        <v>3994</v>
      </c>
      <c r="N107" s="447">
        <f t="shared" si="20"/>
        <v>3994</v>
      </c>
      <c r="O107" s="447">
        <f t="shared" si="20"/>
        <v>3994</v>
      </c>
      <c r="P107" s="447">
        <f t="shared" si="20"/>
        <v>3994</v>
      </c>
      <c r="Q107" s="447">
        <f t="shared" si="20"/>
        <v>3994</v>
      </c>
      <c r="R107" s="447">
        <f t="shared" si="20"/>
        <v>3994</v>
      </c>
      <c r="S107" s="447">
        <f t="shared" si="20"/>
        <v>5947</v>
      </c>
      <c r="T107" s="447">
        <f t="shared" si="20"/>
        <v>5947</v>
      </c>
      <c r="U107" s="320"/>
      <c r="V107" s="320"/>
      <c r="W107" s="320"/>
      <c r="X107" s="320"/>
    </row>
    <row r="108" spans="1:24" s="303" customFormat="1" ht="17.25" customHeight="1">
      <c r="A108" s="340"/>
      <c r="B108" s="351" t="s">
        <v>851</v>
      </c>
      <c r="C108" s="340" t="s">
        <v>107</v>
      </c>
      <c r="D108" s="447">
        <f t="shared" si="20"/>
        <v>7</v>
      </c>
      <c r="E108" s="447">
        <f t="shared" si="20"/>
        <v>7</v>
      </c>
      <c r="F108" s="447">
        <f t="shared" si="20"/>
        <v>7</v>
      </c>
      <c r="G108" s="447">
        <f t="shared" si="20"/>
        <v>7</v>
      </c>
      <c r="H108" s="447">
        <f t="shared" si="20"/>
        <v>7</v>
      </c>
      <c r="I108" s="503">
        <f t="shared" si="20"/>
        <v>7</v>
      </c>
      <c r="J108" s="447">
        <f t="shared" si="20"/>
        <v>7</v>
      </c>
      <c r="K108" s="447">
        <f t="shared" si="20"/>
        <v>7</v>
      </c>
      <c r="L108" s="447">
        <f t="shared" si="20"/>
        <v>16</v>
      </c>
      <c r="M108" s="447">
        <f t="shared" si="20"/>
        <v>16</v>
      </c>
      <c r="N108" s="447">
        <f t="shared" si="20"/>
        <v>16</v>
      </c>
      <c r="O108" s="447">
        <f t="shared" si="20"/>
        <v>16</v>
      </c>
      <c r="P108" s="447">
        <f t="shared" si="20"/>
        <v>16</v>
      </c>
      <c r="Q108" s="447">
        <f t="shared" si="20"/>
        <v>16</v>
      </c>
      <c r="R108" s="447">
        <f t="shared" si="20"/>
        <v>16</v>
      </c>
      <c r="S108" s="447">
        <f t="shared" si="20"/>
        <v>20</v>
      </c>
      <c r="T108" s="447">
        <f t="shared" si="20"/>
        <v>20</v>
      </c>
      <c r="U108" s="320"/>
      <c r="V108" s="320"/>
      <c r="W108" s="320"/>
      <c r="X108" s="320"/>
    </row>
    <row r="109" spans="1:24" s="303" customFormat="1" ht="17.25" customHeight="1">
      <c r="A109" s="340"/>
      <c r="B109" s="340" t="s">
        <v>853</v>
      </c>
      <c r="C109" s="339" t="s">
        <v>846</v>
      </c>
      <c r="D109" s="447">
        <f t="shared" si="20"/>
        <v>3170.02</v>
      </c>
      <c r="E109" s="447">
        <f t="shared" si="20"/>
        <v>3170.02</v>
      </c>
      <c r="F109" s="447">
        <f t="shared" si="20"/>
        <v>3390</v>
      </c>
      <c r="G109" s="447">
        <f t="shared" si="20"/>
        <v>3610</v>
      </c>
      <c r="H109" s="447">
        <f t="shared" si="20"/>
        <v>3700</v>
      </c>
      <c r="I109" s="503">
        <f t="shared" si="20"/>
        <v>3700</v>
      </c>
      <c r="J109" s="447">
        <f t="shared" si="20"/>
        <v>3700</v>
      </c>
      <c r="K109" s="447">
        <f t="shared" si="20"/>
        <v>53576</v>
      </c>
      <c r="L109" s="447">
        <f t="shared" si="20"/>
        <v>53576</v>
      </c>
      <c r="M109" s="447">
        <f t="shared" si="20"/>
        <v>53576</v>
      </c>
      <c r="N109" s="447">
        <f t="shared" si="20"/>
        <v>53576</v>
      </c>
      <c r="O109" s="447">
        <f t="shared" si="20"/>
        <v>55076</v>
      </c>
      <c r="P109" s="447">
        <f t="shared" si="20"/>
        <v>55076</v>
      </c>
      <c r="Q109" s="447">
        <f t="shared" si="20"/>
        <v>55076</v>
      </c>
      <c r="R109" s="447">
        <f t="shared" si="20"/>
        <v>55076</v>
      </c>
      <c r="S109" s="447">
        <f t="shared" si="20"/>
        <v>56576</v>
      </c>
      <c r="T109" s="447">
        <f t="shared" si="20"/>
        <v>56576</v>
      </c>
      <c r="U109" s="320"/>
      <c r="V109" s="320"/>
      <c r="W109" s="320"/>
      <c r="X109" s="320"/>
    </row>
    <row r="110" spans="1:24" s="303" customFormat="1" ht="17.25" customHeight="1">
      <c r="A110" s="340"/>
      <c r="B110" s="351" t="s">
        <v>851</v>
      </c>
      <c r="C110" s="340" t="s">
        <v>107</v>
      </c>
      <c r="D110" s="447">
        <f t="shared" si="20"/>
        <v>13</v>
      </c>
      <c r="E110" s="447">
        <f t="shared" si="20"/>
        <v>13</v>
      </c>
      <c r="F110" s="447">
        <f t="shared" si="20"/>
        <v>14</v>
      </c>
      <c r="G110" s="447">
        <f t="shared" si="20"/>
        <v>15</v>
      </c>
      <c r="H110" s="447">
        <f t="shared" si="20"/>
        <v>16</v>
      </c>
      <c r="I110" s="503">
        <f t="shared" si="20"/>
        <v>16</v>
      </c>
      <c r="J110" s="447">
        <f t="shared" si="20"/>
        <v>16</v>
      </c>
      <c r="K110" s="447">
        <f t="shared" si="20"/>
        <v>22</v>
      </c>
      <c r="L110" s="447">
        <f t="shared" si="20"/>
        <v>22</v>
      </c>
      <c r="M110" s="447">
        <f t="shared" si="20"/>
        <v>22</v>
      </c>
      <c r="N110" s="447">
        <f t="shared" si="20"/>
        <v>22</v>
      </c>
      <c r="O110" s="447">
        <f t="shared" si="20"/>
        <v>26</v>
      </c>
      <c r="P110" s="447">
        <f t="shared" si="20"/>
        <v>26</v>
      </c>
      <c r="Q110" s="447">
        <f t="shared" si="20"/>
        <v>26</v>
      </c>
      <c r="R110" s="447">
        <f t="shared" si="20"/>
        <v>26</v>
      </c>
      <c r="S110" s="447">
        <f t="shared" si="20"/>
        <v>40</v>
      </c>
      <c r="T110" s="447">
        <f t="shared" si="20"/>
        <v>40</v>
      </c>
      <c r="U110" s="320"/>
      <c r="V110" s="320"/>
      <c r="W110" s="320"/>
      <c r="X110" s="320"/>
    </row>
    <row r="111" spans="1:24" s="303" customFormat="1" ht="17.25" customHeight="1">
      <c r="A111" s="340"/>
      <c r="B111" s="340" t="s">
        <v>854</v>
      </c>
      <c r="C111" s="340"/>
      <c r="D111" s="311"/>
      <c r="E111" s="311"/>
      <c r="F111" s="311"/>
      <c r="G111" s="311"/>
      <c r="H111" s="311"/>
      <c r="I111" s="494"/>
      <c r="J111" s="311"/>
      <c r="K111" s="311"/>
      <c r="L111" s="311"/>
      <c r="M111" s="311"/>
      <c r="N111" s="311"/>
      <c r="O111" s="311"/>
      <c r="P111" s="311"/>
      <c r="Q111" s="311"/>
      <c r="R111" s="311"/>
      <c r="S111" s="311"/>
      <c r="T111" s="327"/>
      <c r="U111" s="320"/>
      <c r="V111" s="320"/>
      <c r="W111" s="320"/>
      <c r="X111" s="320"/>
    </row>
    <row r="112" spans="1:24" s="303" customFormat="1" ht="17.25" customHeight="1">
      <c r="A112" s="340"/>
      <c r="B112" s="351" t="s">
        <v>855</v>
      </c>
      <c r="C112" s="339" t="s">
        <v>846</v>
      </c>
      <c r="D112" s="447">
        <f t="shared" ref="D112:T121" si="21">D323+D345+D367+D993</f>
        <v>4337</v>
      </c>
      <c r="E112" s="447">
        <f t="shared" si="21"/>
        <v>4337</v>
      </c>
      <c r="F112" s="447">
        <f t="shared" si="21"/>
        <v>4337</v>
      </c>
      <c r="G112" s="447">
        <f t="shared" si="21"/>
        <v>4283</v>
      </c>
      <c r="H112" s="447">
        <f t="shared" si="21"/>
        <v>4283</v>
      </c>
      <c r="I112" s="503">
        <f t="shared" si="21"/>
        <v>4643</v>
      </c>
      <c r="J112" s="447">
        <f t="shared" si="21"/>
        <v>4643</v>
      </c>
      <c r="K112" s="447">
        <f t="shared" si="21"/>
        <v>4643</v>
      </c>
      <c r="L112" s="447">
        <f t="shared" si="21"/>
        <v>4643</v>
      </c>
      <c r="M112" s="447">
        <f t="shared" si="21"/>
        <v>4643</v>
      </c>
      <c r="N112" s="447">
        <f t="shared" si="21"/>
        <v>4643</v>
      </c>
      <c r="O112" s="447">
        <f t="shared" si="21"/>
        <v>5278</v>
      </c>
      <c r="P112" s="447">
        <f t="shared" si="21"/>
        <v>6538</v>
      </c>
      <c r="Q112" s="447">
        <f t="shared" si="21"/>
        <v>6538</v>
      </c>
      <c r="R112" s="447">
        <f t="shared" si="21"/>
        <v>6538</v>
      </c>
      <c r="S112" s="447">
        <f t="shared" si="21"/>
        <v>6538</v>
      </c>
      <c r="T112" s="447">
        <f t="shared" si="21"/>
        <v>6538</v>
      </c>
      <c r="U112" s="320"/>
      <c r="V112" s="320"/>
      <c r="W112" s="320"/>
      <c r="X112" s="320"/>
    </row>
    <row r="113" spans="1:24" s="303" customFormat="1" ht="17.25" customHeight="1">
      <c r="A113" s="340"/>
      <c r="B113" s="351" t="s">
        <v>851</v>
      </c>
      <c r="C113" s="340" t="s">
        <v>107</v>
      </c>
      <c r="D113" s="447">
        <f t="shared" si="21"/>
        <v>71</v>
      </c>
      <c r="E113" s="447">
        <f t="shared" si="21"/>
        <v>71</v>
      </c>
      <c r="F113" s="447">
        <f t="shared" si="21"/>
        <v>71</v>
      </c>
      <c r="G113" s="447">
        <f t="shared" si="21"/>
        <v>84</v>
      </c>
      <c r="H113" s="447">
        <f t="shared" si="21"/>
        <v>84</v>
      </c>
      <c r="I113" s="503">
        <f t="shared" si="21"/>
        <v>84</v>
      </c>
      <c r="J113" s="447">
        <f t="shared" si="21"/>
        <v>84</v>
      </c>
      <c r="K113" s="447">
        <f t="shared" si="21"/>
        <v>84</v>
      </c>
      <c r="L113" s="447">
        <f t="shared" si="21"/>
        <v>84</v>
      </c>
      <c r="M113" s="447">
        <f t="shared" si="21"/>
        <v>84</v>
      </c>
      <c r="N113" s="447">
        <f t="shared" si="21"/>
        <v>84</v>
      </c>
      <c r="O113" s="447">
        <f t="shared" si="21"/>
        <v>96</v>
      </c>
      <c r="P113" s="447">
        <f t="shared" si="21"/>
        <v>166</v>
      </c>
      <c r="Q113" s="447">
        <f t="shared" si="21"/>
        <v>166</v>
      </c>
      <c r="R113" s="447">
        <f t="shared" si="21"/>
        <v>166</v>
      </c>
      <c r="S113" s="447">
        <f t="shared" si="21"/>
        <v>166</v>
      </c>
      <c r="T113" s="447">
        <f t="shared" si="21"/>
        <v>166</v>
      </c>
      <c r="U113" s="320"/>
      <c r="V113" s="320"/>
      <c r="W113" s="320"/>
      <c r="X113" s="320"/>
    </row>
    <row r="114" spans="1:24" s="303" customFormat="1" ht="17.25" customHeight="1">
      <c r="A114" s="340"/>
      <c r="B114" s="340" t="s">
        <v>856</v>
      </c>
      <c r="C114" s="339" t="s">
        <v>846</v>
      </c>
      <c r="D114" s="447">
        <f t="shared" si="21"/>
        <v>1717</v>
      </c>
      <c r="E114" s="447">
        <f t="shared" si="21"/>
        <v>1717</v>
      </c>
      <c r="F114" s="447">
        <f t="shared" si="21"/>
        <v>1717</v>
      </c>
      <c r="G114" s="447">
        <f t="shared" si="21"/>
        <v>1717</v>
      </c>
      <c r="H114" s="447">
        <f t="shared" si="21"/>
        <v>1817</v>
      </c>
      <c r="I114" s="503">
        <f t="shared" si="21"/>
        <v>1817</v>
      </c>
      <c r="J114" s="447">
        <f t="shared" si="21"/>
        <v>1817</v>
      </c>
      <c r="K114" s="447">
        <f t="shared" si="21"/>
        <v>1817</v>
      </c>
      <c r="L114" s="447">
        <f t="shared" si="21"/>
        <v>1817</v>
      </c>
      <c r="M114" s="447">
        <f t="shared" si="21"/>
        <v>1817</v>
      </c>
      <c r="N114" s="447">
        <f t="shared" si="21"/>
        <v>2453</v>
      </c>
      <c r="O114" s="447">
        <f t="shared" si="21"/>
        <v>2453</v>
      </c>
      <c r="P114" s="447">
        <f t="shared" si="21"/>
        <v>2453</v>
      </c>
      <c r="Q114" s="447">
        <f t="shared" si="21"/>
        <v>2453</v>
      </c>
      <c r="R114" s="447">
        <f t="shared" si="21"/>
        <v>2453</v>
      </c>
      <c r="S114" s="447">
        <f t="shared" si="21"/>
        <v>3053</v>
      </c>
      <c r="T114" s="447">
        <f t="shared" si="21"/>
        <v>3053</v>
      </c>
      <c r="U114" s="320"/>
      <c r="V114" s="320"/>
      <c r="W114" s="320"/>
      <c r="X114" s="320"/>
    </row>
    <row r="115" spans="1:24" s="303" customFormat="1" ht="17.25" customHeight="1">
      <c r="A115" s="340"/>
      <c r="B115" s="351" t="s">
        <v>851</v>
      </c>
      <c r="C115" s="340" t="s">
        <v>107</v>
      </c>
      <c r="D115" s="447">
        <f t="shared" si="21"/>
        <v>3</v>
      </c>
      <c r="E115" s="447">
        <f t="shared" si="21"/>
        <v>3</v>
      </c>
      <c r="F115" s="447">
        <f t="shared" si="21"/>
        <v>3</v>
      </c>
      <c r="G115" s="447">
        <f t="shared" si="21"/>
        <v>3</v>
      </c>
      <c r="H115" s="447">
        <f t="shared" si="21"/>
        <v>3</v>
      </c>
      <c r="I115" s="503">
        <f t="shared" si="21"/>
        <v>3</v>
      </c>
      <c r="J115" s="447">
        <f t="shared" si="21"/>
        <v>3</v>
      </c>
      <c r="K115" s="447">
        <f t="shared" si="21"/>
        <v>3</v>
      </c>
      <c r="L115" s="447">
        <f t="shared" si="21"/>
        <v>3</v>
      </c>
      <c r="M115" s="447">
        <f t="shared" si="21"/>
        <v>3</v>
      </c>
      <c r="N115" s="447">
        <f t="shared" si="21"/>
        <v>4</v>
      </c>
      <c r="O115" s="447">
        <f t="shared" si="21"/>
        <v>4</v>
      </c>
      <c r="P115" s="447">
        <f t="shared" si="21"/>
        <v>4</v>
      </c>
      <c r="Q115" s="447">
        <f t="shared" si="21"/>
        <v>4</v>
      </c>
      <c r="R115" s="447">
        <f t="shared" si="21"/>
        <v>4</v>
      </c>
      <c r="S115" s="447">
        <f t="shared" si="21"/>
        <v>5</v>
      </c>
      <c r="T115" s="447">
        <f t="shared" si="21"/>
        <v>5</v>
      </c>
      <c r="U115" s="320"/>
      <c r="V115" s="320"/>
      <c r="W115" s="320"/>
      <c r="X115" s="320"/>
    </row>
    <row r="116" spans="1:24" s="303" customFormat="1" ht="17.25" customHeight="1">
      <c r="A116" s="340"/>
      <c r="B116" s="340" t="s">
        <v>857</v>
      </c>
      <c r="C116" s="339" t="s">
        <v>846</v>
      </c>
      <c r="D116" s="447">
        <f t="shared" si="21"/>
        <v>1753</v>
      </c>
      <c r="E116" s="447">
        <f t="shared" si="21"/>
        <v>1753</v>
      </c>
      <c r="F116" s="447">
        <f t="shared" si="21"/>
        <v>1753</v>
      </c>
      <c r="G116" s="447">
        <f t="shared" si="21"/>
        <v>1753</v>
      </c>
      <c r="H116" s="447">
        <f t="shared" si="21"/>
        <v>1753</v>
      </c>
      <c r="I116" s="503">
        <f t="shared" si="21"/>
        <v>1753</v>
      </c>
      <c r="J116" s="447">
        <f t="shared" si="21"/>
        <v>2860</v>
      </c>
      <c r="K116" s="447">
        <f t="shared" si="21"/>
        <v>1753</v>
      </c>
      <c r="L116" s="447">
        <f t="shared" si="21"/>
        <v>2820</v>
      </c>
      <c r="M116" s="447">
        <f t="shared" si="21"/>
        <v>2820</v>
      </c>
      <c r="N116" s="447">
        <f t="shared" si="21"/>
        <v>2820</v>
      </c>
      <c r="O116" s="447">
        <f t="shared" si="21"/>
        <v>3495</v>
      </c>
      <c r="P116" s="447">
        <f t="shared" si="21"/>
        <v>3495</v>
      </c>
      <c r="Q116" s="447">
        <f t="shared" si="21"/>
        <v>3495</v>
      </c>
      <c r="R116" s="447">
        <f t="shared" si="21"/>
        <v>3495</v>
      </c>
      <c r="S116" s="447">
        <f t="shared" si="21"/>
        <v>3495</v>
      </c>
      <c r="T116" s="447">
        <f t="shared" si="21"/>
        <v>3495</v>
      </c>
      <c r="U116" s="320"/>
      <c r="V116" s="320"/>
      <c r="W116" s="320"/>
      <c r="X116" s="320"/>
    </row>
    <row r="117" spans="1:24" s="303" customFormat="1" ht="17.25" customHeight="1">
      <c r="A117" s="340"/>
      <c r="B117" s="351" t="s">
        <v>851</v>
      </c>
      <c r="C117" s="340" t="s">
        <v>107</v>
      </c>
      <c r="D117" s="447">
        <f t="shared" si="21"/>
        <v>7</v>
      </c>
      <c r="E117" s="447">
        <f t="shared" si="21"/>
        <v>7</v>
      </c>
      <c r="F117" s="447">
        <f t="shared" si="21"/>
        <v>7</v>
      </c>
      <c r="G117" s="447">
        <f t="shared" si="21"/>
        <v>7</v>
      </c>
      <c r="H117" s="447">
        <f t="shared" si="21"/>
        <v>7</v>
      </c>
      <c r="I117" s="503">
        <f t="shared" si="21"/>
        <v>7</v>
      </c>
      <c r="J117" s="447">
        <f t="shared" si="21"/>
        <v>7</v>
      </c>
      <c r="K117" s="447">
        <f t="shared" si="21"/>
        <v>7</v>
      </c>
      <c r="L117" s="447">
        <f t="shared" si="21"/>
        <v>27</v>
      </c>
      <c r="M117" s="447">
        <f t="shared" si="21"/>
        <v>27</v>
      </c>
      <c r="N117" s="447">
        <f t="shared" si="21"/>
        <v>27</v>
      </c>
      <c r="O117" s="447">
        <f t="shared" si="21"/>
        <v>29</v>
      </c>
      <c r="P117" s="447">
        <f t="shared" si="21"/>
        <v>29</v>
      </c>
      <c r="Q117" s="447">
        <f t="shared" si="21"/>
        <v>29</v>
      </c>
      <c r="R117" s="447">
        <f t="shared" si="21"/>
        <v>29</v>
      </c>
      <c r="S117" s="447">
        <f t="shared" si="21"/>
        <v>29</v>
      </c>
      <c r="T117" s="447">
        <f t="shared" si="21"/>
        <v>29</v>
      </c>
      <c r="U117" s="320"/>
      <c r="V117" s="320"/>
      <c r="W117" s="320"/>
      <c r="X117" s="320"/>
    </row>
    <row r="118" spans="1:24" s="303" customFormat="1" ht="17.25" customHeight="1">
      <c r="A118" s="340"/>
      <c r="B118" s="340" t="s">
        <v>858</v>
      </c>
      <c r="C118" s="339" t="s">
        <v>846</v>
      </c>
      <c r="D118" s="447">
        <f t="shared" si="21"/>
        <v>2783</v>
      </c>
      <c r="E118" s="447">
        <f t="shared" si="21"/>
        <v>2783</v>
      </c>
      <c r="F118" s="447">
        <f t="shared" si="21"/>
        <v>2783</v>
      </c>
      <c r="G118" s="447">
        <f t="shared" si="21"/>
        <v>2783</v>
      </c>
      <c r="H118" s="447">
        <f t="shared" si="21"/>
        <v>2783</v>
      </c>
      <c r="I118" s="503">
        <f t="shared" si="21"/>
        <v>2783</v>
      </c>
      <c r="J118" s="447">
        <f t="shared" si="21"/>
        <v>2783</v>
      </c>
      <c r="K118" s="447">
        <f t="shared" si="21"/>
        <v>2783</v>
      </c>
      <c r="L118" s="447">
        <f t="shared" si="21"/>
        <v>2783</v>
      </c>
      <c r="M118" s="447">
        <f t="shared" si="21"/>
        <v>2783</v>
      </c>
      <c r="N118" s="447">
        <f t="shared" si="21"/>
        <v>2783</v>
      </c>
      <c r="O118" s="447">
        <f t="shared" si="21"/>
        <v>2783</v>
      </c>
      <c r="P118" s="447">
        <f t="shared" si="21"/>
        <v>2783</v>
      </c>
      <c r="Q118" s="447">
        <f t="shared" si="21"/>
        <v>2783</v>
      </c>
      <c r="R118" s="447">
        <f t="shared" si="21"/>
        <v>2783</v>
      </c>
      <c r="S118" s="447">
        <f t="shared" si="21"/>
        <v>3833</v>
      </c>
      <c r="T118" s="447">
        <f t="shared" si="21"/>
        <v>3833</v>
      </c>
      <c r="U118" s="320"/>
      <c r="V118" s="320"/>
      <c r="W118" s="320"/>
      <c r="X118" s="320"/>
    </row>
    <row r="119" spans="1:24" s="303" customFormat="1" ht="17.25" customHeight="1">
      <c r="A119" s="340"/>
      <c r="B119" s="351" t="s">
        <v>859</v>
      </c>
      <c r="C119" s="340" t="s">
        <v>307</v>
      </c>
      <c r="D119" s="447">
        <f t="shared" si="21"/>
        <v>24</v>
      </c>
      <c r="E119" s="447">
        <f t="shared" si="21"/>
        <v>24</v>
      </c>
      <c r="F119" s="447">
        <f t="shared" si="21"/>
        <v>24</v>
      </c>
      <c r="G119" s="447">
        <f t="shared" si="21"/>
        <v>24</v>
      </c>
      <c r="H119" s="447">
        <f t="shared" si="21"/>
        <v>24</v>
      </c>
      <c r="I119" s="503">
        <f t="shared" si="21"/>
        <v>24</v>
      </c>
      <c r="J119" s="447">
        <f t="shared" si="21"/>
        <v>24</v>
      </c>
      <c r="K119" s="447">
        <f t="shared" si="21"/>
        <v>24</v>
      </c>
      <c r="L119" s="447">
        <f t="shared" si="21"/>
        <v>24</v>
      </c>
      <c r="M119" s="447">
        <f t="shared" si="21"/>
        <v>24</v>
      </c>
      <c r="N119" s="447">
        <f t="shared" si="21"/>
        <v>24</v>
      </c>
      <c r="O119" s="447">
        <f t="shared" si="21"/>
        <v>24</v>
      </c>
      <c r="P119" s="447">
        <f t="shared" si="21"/>
        <v>24</v>
      </c>
      <c r="Q119" s="447">
        <f t="shared" si="21"/>
        <v>24</v>
      </c>
      <c r="R119" s="447">
        <f t="shared" si="21"/>
        <v>24</v>
      </c>
      <c r="S119" s="447">
        <f t="shared" si="21"/>
        <v>26</v>
      </c>
      <c r="T119" s="447">
        <f t="shared" si="21"/>
        <v>26</v>
      </c>
      <c r="U119" s="320"/>
      <c r="V119" s="320"/>
      <c r="W119" s="320"/>
      <c r="X119" s="320"/>
    </row>
    <row r="120" spans="1:24" s="303" customFormat="1" ht="17.25" customHeight="1">
      <c r="A120" s="340"/>
      <c r="B120" s="340" t="s">
        <v>860</v>
      </c>
      <c r="C120" s="339" t="s">
        <v>846</v>
      </c>
      <c r="D120" s="447">
        <f t="shared" si="21"/>
        <v>11903</v>
      </c>
      <c r="E120" s="447">
        <f t="shared" si="21"/>
        <v>11903</v>
      </c>
      <c r="F120" s="447">
        <f t="shared" si="21"/>
        <v>13199</v>
      </c>
      <c r="G120" s="447">
        <f t="shared" si="21"/>
        <v>13199</v>
      </c>
      <c r="H120" s="447">
        <f t="shared" si="21"/>
        <v>13199</v>
      </c>
      <c r="I120" s="503">
        <f t="shared" si="21"/>
        <v>13199</v>
      </c>
      <c r="J120" s="447">
        <f t="shared" si="21"/>
        <v>13479</v>
      </c>
      <c r="K120" s="447">
        <f t="shared" si="21"/>
        <v>13479</v>
      </c>
      <c r="L120" s="447">
        <f t="shared" si="21"/>
        <v>13479</v>
      </c>
      <c r="M120" s="447">
        <f t="shared" si="21"/>
        <v>13479</v>
      </c>
      <c r="N120" s="447">
        <f t="shared" si="21"/>
        <v>15467</v>
      </c>
      <c r="O120" s="447">
        <f t="shared" si="21"/>
        <v>15467</v>
      </c>
      <c r="P120" s="447">
        <f t="shared" si="21"/>
        <v>15467</v>
      </c>
      <c r="Q120" s="447">
        <f t="shared" si="21"/>
        <v>15467</v>
      </c>
      <c r="R120" s="447">
        <f t="shared" si="21"/>
        <v>15467</v>
      </c>
      <c r="S120" s="447">
        <f t="shared" si="21"/>
        <v>17747</v>
      </c>
      <c r="T120" s="447">
        <f t="shared" si="21"/>
        <v>22462</v>
      </c>
      <c r="U120" s="320"/>
      <c r="V120" s="320"/>
      <c r="W120" s="320"/>
      <c r="X120" s="320"/>
    </row>
    <row r="121" spans="1:24" s="303" customFormat="1" ht="17.25" customHeight="1">
      <c r="A121" s="340"/>
      <c r="B121" s="351" t="s">
        <v>861</v>
      </c>
      <c r="C121" s="340" t="s">
        <v>107</v>
      </c>
      <c r="D121" s="447">
        <f t="shared" si="21"/>
        <v>270</v>
      </c>
      <c r="E121" s="447">
        <f t="shared" si="21"/>
        <v>270</v>
      </c>
      <c r="F121" s="447">
        <f t="shared" si="21"/>
        <v>294</v>
      </c>
      <c r="G121" s="447">
        <f t="shared" si="21"/>
        <v>294</v>
      </c>
      <c r="H121" s="447">
        <f t="shared" si="21"/>
        <v>294</v>
      </c>
      <c r="I121" s="503">
        <f t="shared" si="21"/>
        <v>294</v>
      </c>
      <c r="J121" s="447">
        <f t="shared" si="21"/>
        <v>309</v>
      </c>
      <c r="K121" s="447">
        <f t="shared" si="21"/>
        <v>309</v>
      </c>
      <c r="L121" s="447">
        <f t="shared" si="21"/>
        <v>309</v>
      </c>
      <c r="M121" s="447">
        <f t="shared" si="21"/>
        <v>309</v>
      </c>
      <c r="N121" s="447">
        <f t="shared" si="21"/>
        <v>335</v>
      </c>
      <c r="O121" s="447">
        <f t="shared" si="21"/>
        <v>335</v>
      </c>
      <c r="P121" s="447">
        <f t="shared" si="21"/>
        <v>335</v>
      </c>
      <c r="Q121" s="447">
        <f t="shared" si="21"/>
        <v>335</v>
      </c>
      <c r="R121" s="447">
        <f t="shared" si="21"/>
        <v>335</v>
      </c>
      <c r="S121" s="447">
        <f t="shared" si="21"/>
        <v>437</v>
      </c>
      <c r="T121" s="447">
        <f t="shared" si="21"/>
        <v>487</v>
      </c>
      <c r="U121" s="320"/>
      <c r="V121" s="320"/>
      <c r="W121" s="320"/>
      <c r="X121" s="320"/>
    </row>
    <row r="122" spans="1:24" s="325" customFormat="1" ht="17.25" customHeight="1">
      <c r="A122" s="352" t="s">
        <v>756</v>
      </c>
      <c r="B122" s="353" t="s">
        <v>132</v>
      </c>
      <c r="C122" s="306"/>
      <c r="D122" s="487">
        <f>D1004+D1007+D1010+D1013</f>
        <v>49615</v>
      </c>
      <c r="E122" s="487">
        <f t="shared" ref="E122:T124" si="22">E1004+E1007+E1010+E1013</f>
        <v>67546</v>
      </c>
      <c r="F122" s="487">
        <f t="shared" si="22"/>
        <v>88476</v>
      </c>
      <c r="G122" s="487">
        <f t="shared" si="22"/>
        <v>75368</v>
      </c>
      <c r="H122" s="487">
        <f t="shared" si="22"/>
        <v>93786</v>
      </c>
      <c r="I122" s="502">
        <f t="shared" si="22"/>
        <v>86695.4</v>
      </c>
      <c r="J122" s="487">
        <f t="shared" si="22"/>
        <v>63677</v>
      </c>
      <c r="K122" s="487">
        <f t="shared" si="22"/>
        <v>108015</v>
      </c>
      <c r="L122" s="487">
        <f t="shared" si="22"/>
        <v>105642</v>
      </c>
      <c r="M122" s="487">
        <f t="shared" si="22"/>
        <v>101321</v>
      </c>
      <c r="N122" s="487">
        <f t="shared" si="22"/>
        <v>115442.5</v>
      </c>
      <c r="O122" s="487">
        <f t="shared" si="22"/>
        <v>153286.15</v>
      </c>
      <c r="P122" s="487">
        <f t="shared" si="22"/>
        <v>139194.07250000001</v>
      </c>
      <c r="Q122" s="487">
        <f t="shared" si="22"/>
        <v>175538.68337499999</v>
      </c>
      <c r="R122" s="487">
        <f t="shared" si="22"/>
        <v>176774.98588125</v>
      </c>
      <c r="S122" s="487">
        <f t="shared" si="22"/>
        <v>216350.73376343749</v>
      </c>
      <c r="T122" s="487">
        <f t="shared" si="22"/>
        <v>379860.88051612501</v>
      </c>
      <c r="U122" s="324"/>
      <c r="V122" s="324"/>
      <c r="W122" s="324"/>
      <c r="X122" s="324"/>
    </row>
    <row r="123" spans="1:24" s="303" customFormat="1" ht="17.25" customHeight="1">
      <c r="A123" s="352"/>
      <c r="B123" s="329" t="s">
        <v>62</v>
      </c>
      <c r="C123" s="354" t="s">
        <v>116</v>
      </c>
      <c r="D123" s="447">
        <f>D1005+D1008+D1011+D1014</f>
        <v>45965</v>
      </c>
      <c r="E123" s="447">
        <f t="shared" si="22"/>
        <v>53180</v>
      </c>
      <c r="F123" s="447">
        <f t="shared" si="22"/>
        <v>70844</v>
      </c>
      <c r="G123" s="447">
        <f t="shared" si="22"/>
        <v>67168</v>
      </c>
      <c r="H123" s="447">
        <f t="shared" si="22"/>
        <v>86583</v>
      </c>
      <c r="I123" s="503">
        <f t="shared" si="22"/>
        <v>81315.399999999994</v>
      </c>
      <c r="J123" s="447">
        <f t="shared" si="22"/>
        <v>60877</v>
      </c>
      <c r="K123" s="447">
        <f t="shared" si="22"/>
        <v>72515</v>
      </c>
      <c r="L123" s="447">
        <f t="shared" si="22"/>
        <v>83642</v>
      </c>
      <c r="M123" s="447">
        <f t="shared" si="22"/>
        <v>94321</v>
      </c>
      <c r="N123" s="447">
        <f t="shared" si="22"/>
        <v>102442.5</v>
      </c>
      <c r="O123" s="447">
        <f t="shared" si="22"/>
        <v>114086.15</v>
      </c>
      <c r="P123" s="447">
        <f t="shared" si="22"/>
        <v>128554.07250000001</v>
      </c>
      <c r="Q123" s="447">
        <f t="shared" si="22"/>
        <v>145170.68337499999</v>
      </c>
      <c r="R123" s="447">
        <f t="shared" si="22"/>
        <v>164332.98588125</v>
      </c>
      <c r="S123" s="447">
        <f t="shared" si="22"/>
        <v>186420.73376343749</v>
      </c>
      <c r="T123" s="447">
        <f t="shared" si="22"/>
        <v>327708.88051612501</v>
      </c>
      <c r="U123" s="320"/>
      <c r="V123" s="320"/>
      <c r="W123" s="320"/>
      <c r="X123" s="320"/>
    </row>
    <row r="124" spans="1:24" s="303" customFormat="1" ht="17.25" customHeight="1">
      <c r="A124" s="355"/>
      <c r="B124" s="356" t="s">
        <v>862</v>
      </c>
      <c r="C124" s="354" t="s">
        <v>116</v>
      </c>
      <c r="D124" s="447">
        <f>D1006+D1009+D1012+D1015</f>
        <v>3650</v>
      </c>
      <c r="E124" s="447">
        <f t="shared" si="22"/>
        <v>14366</v>
      </c>
      <c r="F124" s="447">
        <f t="shared" si="22"/>
        <v>17632</v>
      </c>
      <c r="G124" s="447">
        <f t="shared" si="22"/>
        <v>8200</v>
      </c>
      <c r="H124" s="447">
        <f t="shared" si="22"/>
        <v>7203</v>
      </c>
      <c r="I124" s="503">
        <f t="shared" si="22"/>
        <v>5380</v>
      </c>
      <c r="J124" s="447">
        <f t="shared" si="22"/>
        <v>2800</v>
      </c>
      <c r="K124" s="447">
        <f t="shared" si="22"/>
        <v>35500</v>
      </c>
      <c r="L124" s="447">
        <f t="shared" si="22"/>
        <v>22000</v>
      </c>
      <c r="M124" s="447">
        <f t="shared" si="22"/>
        <v>7000</v>
      </c>
      <c r="N124" s="447">
        <f t="shared" si="22"/>
        <v>13000</v>
      </c>
      <c r="O124" s="447">
        <f t="shared" si="22"/>
        <v>39200</v>
      </c>
      <c r="P124" s="447">
        <f t="shared" si="22"/>
        <v>10640</v>
      </c>
      <c r="Q124" s="447">
        <f t="shared" si="22"/>
        <v>30368</v>
      </c>
      <c r="R124" s="447">
        <f t="shared" si="22"/>
        <v>12442</v>
      </c>
      <c r="S124" s="447">
        <f t="shared" si="22"/>
        <v>29930</v>
      </c>
      <c r="T124" s="447">
        <f t="shared" si="22"/>
        <v>52152</v>
      </c>
      <c r="U124" s="320"/>
      <c r="V124" s="320"/>
      <c r="W124" s="320"/>
      <c r="X124" s="320"/>
    </row>
    <row r="125" spans="1:24" s="497" customFormat="1" ht="17.25" customHeight="1">
      <c r="A125" s="490" t="s">
        <v>863</v>
      </c>
      <c r="B125" s="491" t="s">
        <v>864</v>
      </c>
      <c r="C125" s="492"/>
      <c r="D125" s="493"/>
      <c r="E125" s="493"/>
      <c r="F125" s="493"/>
      <c r="G125" s="493"/>
      <c r="H125" s="493"/>
      <c r="I125" s="493"/>
      <c r="J125" s="494"/>
      <c r="K125" s="494"/>
      <c r="L125" s="494"/>
      <c r="M125" s="494"/>
      <c r="N125" s="494"/>
      <c r="O125" s="494"/>
      <c r="P125" s="494"/>
      <c r="Q125" s="494"/>
      <c r="R125" s="494"/>
      <c r="S125" s="494"/>
      <c r="T125" s="495"/>
      <c r="U125" s="496"/>
      <c r="V125" s="496"/>
      <c r="W125" s="496"/>
      <c r="X125" s="496"/>
    </row>
    <row r="126" spans="1:24" s="358" customFormat="1" ht="17.25" customHeight="1">
      <c r="A126" s="352" t="s">
        <v>327</v>
      </c>
      <c r="B126" s="313" t="s">
        <v>772</v>
      </c>
      <c r="C126" s="306"/>
      <c r="D126" s="306"/>
      <c r="E126" s="306"/>
      <c r="F126" s="306"/>
      <c r="G126" s="306"/>
      <c r="H126" s="306"/>
      <c r="I126" s="492"/>
      <c r="J126" s="306"/>
      <c r="K126" s="306"/>
      <c r="L126" s="306"/>
      <c r="M126" s="357"/>
      <c r="N126" s="357"/>
      <c r="O126" s="357"/>
      <c r="P126" s="357"/>
      <c r="Q126" s="357"/>
      <c r="R126" s="357"/>
      <c r="S126" s="357"/>
      <c r="T126" s="344"/>
    </row>
    <row r="127" spans="1:24" ht="17.25" customHeight="1">
      <c r="A127" s="352">
        <v>1</v>
      </c>
      <c r="B127" s="359" t="s">
        <v>865</v>
      </c>
      <c r="C127" s="310" t="s">
        <v>94</v>
      </c>
      <c r="D127" s="306">
        <f t="shared" ref="D127:O127" si="23">D128+D131</f>
        <v>3708</v>
      </c>
      <c r="E127" s="306">
        <f t="shared" si="23"/>
        <v>4251</v>
      </c>
      <c r="F127" s="306">
        <f t="shared" si="23"/>
        <v>3900</v>
      </c>
      <c r="G127" s="306">
        <f t="shared" si="23"/>
        <v>3283</v>
      </c>
      <c r="H127" s="306">
        <f t="shared" si="23"/>
        <v>2514</v>
      </c>
      <c r="I127" s="501">
        <f>I128+I131</f>
        <v>1689</v>
      </c>
      <c r="J127" s="360">
        <f t="shared" si="23"/>
        <v>1340</v>
      </c>
      <c r="K127" s="306">
        <f t="shared" si="23"/>
        <v>1470</v>
      </c>
      <c r="L127" s="306">
        <f t="shared" si="23"/>
        <v>1750</v>
      </c>
      <c r="M127" s="306">
        <f t="shared" si="23"/>
        <v>1800</v>
      </c>
      <c r="N127" s="361">
        <f t="shared" si="23"/>
        <v>1850</v>
      </c>
      <c r="O127" s="361">
        <f t="shared" si="23"/>
        <v>1900</v>
      </c>
      <c r="P127" s="306">
        <f>P128+N131</f>
        <v>2000</v>
      </c>
      <c r="Q127" s="306">
        <f>Q128+O131</f>
        <v>2050</v>
      </c>
      <c r="R127" s="306">
        <f>R128+P131</f>
        <v>2150</v>
      </c>
      <c r="S127" s="306">
        <f>S128+Q131</f>
        <v>2200</v>
      </c>
      <c r="T127" s="316">
        <f>T128+T131</f>
        <v>2400</v>
      </c>
    </row>
    <row r="128" spans="1:24" s="358" customFormat="1" ht="17.25" customHeight="1">
      <c r="A128" s="362" t="s">
        <v>866</v>
      </c>
      <c r="B128" s="363" t="s">
        <v>774</v>
      </c>
      <c r="C128" s="310" t="s">
        <v>94</v>
      </c>
      <c r="D128" s="364">
        <f>D129+D130</f>
        <v>2148</v>
      </c>
      <c r="E128" s="364">
        <f>E129+E130</f>
        <v>2339</v>
      </c>
      <c r="F128" s="364">
        <f>F129+F130</f>
        <v>2486</v>
      </c>
      <c r="G128" s="364">
        <f>G129+G130</f>
        <v>2266</v>
      </c>
      <c r="H128" s="364">
        <f>H129+H130</f>
        <v>1780</v>
      </c>
      <c r="I128" s="506">
        <v>1351</v>
      </c>
      <c r="J128" s="365">
        <f t="shared" ref="J128:O128" si="24">J129+J130</f>
        <v>1095</v>
      </c>
      <c r="K128" s="364">
        <f t="shared" si="24"/>
        <v>1220</v>
      </c>
      <c r="L128" s="364">
        <f t="shared" si="24"/>
        <v>1300</v>
      </c>
      <c r="M128" s="364">
        <f t="shared" si="24"/>
        <v>1350</v>
      </c>
      <c r="N128" s="366">
        <f t="shared" si="24"/>
        <v>1400</v>
      </c>
      <c r="O128" s="366">
        <f t="shared" si="24"/>
        <v>1450</v>
      </c>
      <c r="P128" s="367">
        <f>P129+P130</f>
        <v>1550</v>
      </c>
      <c r="Q128" s="367">
        <f>Q129+Q130</f>
        <v>1600</v>
      </c>
      <c r="R128" s="367">
        <f>R129+R130</f>
        <v>1650</v>
      </c>
      <c r="S128" s="367">
        <f>S129+S130</f>
        <v>1700</v>
      </c>
      <c r="T128" s="367">
        <f>T129+T130</f>
        <v>1850</v>
      </c>
    </row>
    <row r="129" spans="1:21" s="358" customFormat="1" ht="17.25" customHeight="1">
      <c r="A129" s="362"/>
      <c r="B129" s="317" t="s">
        <v>775</v>
      </c>
      <c r="C129" s="310" t="s">
        <v>94</v>
      </c>
      <c r="D129" s="368">
        <v>1768</v>
      </c>
      <c r="E129" s="368">
        <v>1811</v>
      </c>
      <c r="F129" s="368">
        <v>1776</v>
      </c>
      <c r="G129" s="368">
        <v>1762</v>
      </c>
      <c r="H129" s="368">
        <v>1491</v>
      </c>
      <c r="I129" s="506">
        <v>1256</v>
      </c>
      <c r="J129" s="365">
        <f>358+320+400</f>
        <v>1078</v>
      </c>
      <c r="K129" s="368">
        <v>1120</v>
      </c>
      <c r="L129" s="368">
        <v>1200</v>
      </c>
      <c r="M129" s="368">
        <v>1200</v>
      </c>
      <c r="N129" s="366">
        <v>1250</v>
      </c>
      <c r="O129" s="366">
        <v>1300</v>
      </c>
      <c r="P129" s="366">
        <v>1350</v>
      </c>
      <c r="Q129" s="366">
        <v>1400</v>
      </c>
      <c r="R129" s="366">
        <v>1450</v>
      </c>
      <c r="S129" s="366">
        <v>1500</v>
      </c>
      <c r="T129" s="369">
        <v>1650</v>
      </c>
    </row>
    <row r="130" spans="1:21" s="358" customFormat="1" ht="17.25" customHeight="1">
      <c r="A130" s="362"/>
      <c r="B130" s="318" t="s">
        <v>776</v>
      </c>
      <c r="C130" s="310" t="s">
        <v>94</v>
      </c>
      <c r="D130" s="368">
        <v>380</v>
      </c>
      <c r="E130" s="368">
        <v>528</v>
      </c>
      <c r="F130" s="368">
        <v>710</v>
      </c>
      <c r="G130" s="368">
        <v>504</v>
      </c>
      <c r="H130" s="368">
        <v>289</v>
      </c>
      <c r="I130" s="506">
        <v>95</v>
      </c>
      <c r="J130" s="365">
        <v>17</v>
      </c>
      <c r="K130" s="368">
        <v>100</v>
      </c>
      <c r="L130" s="368">
        <v>100</v>
      </c>
      <c r="M130" s="368">
        <v>150</v>
      </c>
      <c r="N130" s="368">
        <v>150</v>
      </c>
      <c r="O130" s="368">
        <v>150</v>
      </c>
      <c r="P130" s="367">
        <v>200</v>
      </c>
      <c r="Q130" s="367">
        <v>200</v>
      </c>
      <c r="R130" s="367">
        <v>200</v>
      </c>
      <c r="S130" s="367">
        <v>200</v>
      </c>
      <c r="T130" s="367">
        <v>200</v>
      </c>
    </row>
    <row r="131" spans="1:21" s="358" customFormat="1" ht="17.25" customHeight="1">
      <c r="A131" s="370" t="s">
        <v>867</v>
      </c>
      <c r="B131" s="363" t="s">
        <v>781</v>
      </c>
      <c r="C131" s="310" t="s">
        <v>94</v>
      </c>
      <c r="D131" s="352">
        <f>D132+D133</f>
        <v>1560</v>
      </c>
      <c r="E131" s="352">
        <f>E132+E133</f>
        <v>1912</v>
      </c>
      <c r="F131" s="352">
        <f>F132+F133</f>
        <v>1414</v>
      </c>
      <c r="G131" s="352">
        <f>G132+G133</f>
        <v>1017</v>
      </c>
      <c r="H131" s="352">
        <f>H132+H133</f>
        <v>734</v>
      </c>
      <c r="I131" s="507">
        <f>I132</f>
        <v>338</v>
      </c>
      <c r="J131" s="371">
        <v>245</v>
      </c>
      <c r="K131" s="352">
        <v>250</v>
      </c>
      <c r="L131" s="352">
        <v>450</v>
      </c>
      <c r="M131" s="352">
        <v>450</v>
      </c>
      <c r="N131" s="352">
        <v>450</v>
      </c>
      <c r="O131" s="352">
        <v>450</v>
      </c>
      <c r="P131" s="372">
        <v>500</v>
      </c>
      <c r="Q131" s="372">
        <v>500</v>
      </c>
      <c r="R131" s="372">
        <v>500</v>
      </c>
      <c r="S131" s="372">
        <v>550</v>
      </c>
      <c r="T131" s="372">
        <v>550</v>
      </c>
    </row>
    <row r="132" spans="1:21" s="358" customFormat="1" ht="17.25" customHeight="1">
      <c r="A132" s="362"/>
      <c r="B132" s="321" t="s">
        <v>782</v>
      </c>
      <c r="C132" s="310" t="s">
        <v>94</v>
      </c>
      <c r="D132" s="364">
        <f>261+525+62+30+288</f>
        <v>1166</v>
      </c>
      <c r="E132" s="364">
        <f>261+525+288+361+62+30</f>
        <v>1527</v>
      </c>
      <c r="F132" s="364">
        <f>526+283+356+157+62+30</f>
        <v>1414</v>
      </c>
      <c r="G132" s="364">
        <f>283+356+157+191+30</f>
        <v>1017</v>
      </c>
      <c r="H132" s="364">
        <f>191+157+356+30</f>
        <v>734</v>
      </c>
      <c r="I132" s="506">
        <f>191+58+89</f>
        <v>338</v>
      </c>
      <c r="J132" s="365">
        <v>245</v>
      </c>
      <c r="K132" s="364">
        <v>250</v>
      </c>
      <c r="L132" s="364">
        <v>450</v>
      </c>
      <c r="M132" s="364">
        <v>450</v>
      </c>
      <c r="N132" s="364">
        <v>450</v>
      </c>
      <c r="O132" s="364">
        <v>450</v>
      </c>
      <c r="P132" s="367">
        <v>500</v>
      </c>
      <c r="Q132" s="367">
        <v>500</v>
      </c>
      <c r="R132" s="367">
        <v>500</v>
      </c>
      <c r="S132" s="367">
        <v>550</v>
      </c>
      <c r="T132" s="367">
        <v>550</v>
      </c>
    </row>
    <row r="133" spans="1:21" s="358" customFormat="1" ht="17.25" customHeight="1">
      <c r="A133" s="362"/>
      <c r="B133" s="317" t="s">
        <v>775</v>
      </c>
      <c r="C133" s="310" t="s">
        <v>94</v>
      </c>
      <c r="D133" s="368">
        <v>394</v>
      </c>
      <c r="E133" s="368">
        <v>385</v>
      </c>
      <c r="F133" s="310"/>
      <c r="G133" s="373"/>
      <c r="H133" s="373"/>
      <c r="I133" s="508"/>
      <c r="J133" s="373"/>
      <c r="K133" s="368"/>
      <c r="L133" s="310"/>
      <c r="M133" s="373"/>
      <c r="N133" s="373"/>
      <c r="O133" s="357"/>
      <c r="P133" s="367"/>
      <c r="Q133" s="367"/>
      <c r="R133" s="367"/>
      <c r="S133" s="367"/>
      <c r="T133" s="344"/>
    </row>
    <row r="134" spans="1:21" s="358" customFormat="1" ht="17.25" customHeight="1">
      <c r="A134" s="362"/>
      <c r="B134" s="318" t="s">
        <v>776</v>
      </c>
      <c r="C134" s="310" t="s">
        <v>94</v>
      </c>
      <c r="D134" s="310"/>
      <c r="E134" s="310"/>
      <c r="F134" s="310"/>
      <c r="G134" s="373"/>
      <c r="H134" s="373"/>
      <c r="I134" s="508"/>
      <c r="J134" s="373"/>
      <c r="K134" s="310"/>
      <c r="L134" s="310"/>
      <c r="M134" s="373"/>
      <c r="N134" s="373"/>
      <c r="O134" s="373"/>
      <c r="P134" s="340"/>
      <c r="Q134" s="340"/>
      <c r="R134" s="340"/>
      <c r="S134" s="340"/>
      <c r="T134" s="344"/>
    </row>
    <row r="135" spans="1:21" s="358" customFormat="1" ht="17.25" customHeight="1">
      <c r="A135" s="374">
        <v>2</v>
      </c>
      <c r="B135" s="375" t="s">
        <v>868</v>
      </c>
      <c r="C135" s="310" t="s">
        <v>94</v>
      </c>
      <c r="D135" s="376">
        <f>D136+D139+D143</f>
        <v>2801</v>
      </c>
      <c r="E135" s="376">
        <f t="shared" ref="E135:T135" si="25">E136+E139+E143</f>
        <v>3403</v>
      </c>
      <c r="F135" s="376">
        <f t="shared" si="25"/>
        <v>3750</v>
      </c>
      <c r="G135" s="376">
        <f t="shared" si="25"/>
        <v>2895</v>
      </c>
      <c r="H135" s="376">
        <f t="shared" si="25"/>
        <v>3509</v>
      </c>
      <c r="I135" s="509">
        <f t="shared" si="25"/>
        <v>2262</v>
      </c>
      <c r="J135" s="376">
        <f t="shared" si="25"/>
        <v>2863</v>
      </c>
      <c r="K135" s="376">
        <f t="shared" si="25"/>
        <v>2665</v>
      </c>
      <c r="L135" s="376">
        <f t="shared" si="25"/>
        <v>2764</v>
      </c>
      <c r="M135" s="376">
        <f t="shared" si="25"/>
        <v>2790</v>
      </c>
      <c r="N135" s="376">
        <f t="shared" si="25"/>
        <v>2770</v>
      </c>
      <c r="O135" s="376">
        <f t="shared" si="25"/>
        <v>2750</v>
      </c>
      <c r="P135" s="376">
        <f t="shared" si="25"/>
        <v>2750</v>
      </c>
      <c r="Q135" s="376">
        <f t="shared" si="25"/>
        <v>2750</v>
      </c>
      <c r="R135" s="376">
        <f t="shared" si="25"/>
        <v>2750</v>
      </c>
      <c r="S135" s="376">
        <f t="shared" si="25"/>
        <v>2750</v>
      </c>
      <c r="T135" s="376">
        <f t="shared" si="25"/>
        <v>2750</v>
      </c>
    </row>
    <row r="136" spans="1:21" s="358" customFormat="1" ht="17.25" customHeight="1">
      <c r="A136" s="377" t="s">
        <v>869</v>
      </c>
      <c r="B136" s="378" t="s">
        <v>774</v>
      </c>
      <c r="C136" s="310" t="s">
        <v>94</v>
      </c>
      <c r="D136" s="333">
        <v>1667</v>
      </c>
      <c r="E136" s="333">
        <v>1781</v>
      </c>
      <c r="F136" s="333">
        <v>1796</v>
      </c>
      <c r="G136" s="333">
        <v>1448</v>
      </c>
      <c r="H136" s="333">
        <v>1074</v>
      </c>
      <c r="I136" s="510">
        <v>882</v>
      </c>
      <c r="J136" s="379">
        <v>1007</v>
      </c>
      <c r="K136" s="333">
        <v>965</v>
      </c>
      <c r="L136" s="333">
        <v>1064</v>
      </c>
      <c r="M136" s="333">
        <v>1090</v>
      </c>
      <c r="N136" s="333">
        <v>1070</v>
      </c>
      <c r="O136" s="333">
        <v>1050</v>
      </c>
      <c r="P136" s="333">
        <v>1050</v>
      </c>
      <c r="Q136" s="333">
        <v>1050</v>
      </c>
      <c r="R136" s="333">
        <v>1050</v>
      </c>
      <c r="S136" s="333">
        <v>1050</v>
      </c>
      <c r="T136" s="333">
        <v>1050</v>
      </c>
    </row>
    <row r="137" spans="1:21" s="358" customFormat="1" ht="17.25" customHeight="1">
      <c r="A137" s="377"/>
      <c r="B137" s="380" t="s">
        <v>870</v>
      </c>
      <c r="C137" s="310" t="s">
        <v>94</v>
      </c>
      <c r="D137" s="333">
        <v>459</v>
      </c>
      <c r="E137" s="333">
        <v>536</v>
      </c>
      <c r="F137" s="333">
        <v>506</v>
      </c>
      <c r="G137" s="333">
        <v>379</v>
      </c>
      <c r="H137" s="333">
        <v>212</v>
      </c>
      <c r="I137" s="510">
        <v>270</v>
      </c>
      <c r="J137" s="379">
        <v>362</v>
      </c>
      <c r="K137" s="333">
        <v>534</v>
      </c>
      <c r="L137" s="333">
        <v>584</v>
      </c>
      <c r="M137" s="333">
        <v>610</v>
      </c>
      <c r="N137" s="333">
        <v>590</v>
      </c>
      <c r="O137" s="379">
        <v>570</v>
      </c>
      <c r="P137" s="379">
        <v>570</v>
      </c>
      <c r="Q137" s="379">
        <v>570</v>
      </c>
      <c r="R137" s="379">
        <v>570</v>
      </c>
      <c r="S137" s="379">
        <v>570</v>
      </c>
      <c r="T137" s="379">
        <v>570</v>
      </c>
    </row>
    <row r="138" spans="1:21" s="358" customFormat="1" ht="17.25" customHeight="1">
      <c r="A138" s="377"/>
      <c r="B138" s="380" t="s">
        <v>776</v>
      </c>
      <c r="C138" s="310" t="s">
        <v>94</v>
      </c>
      <c r="D138" s="333">
        <v>1208</v>
      </c>
      <c r="E138" s="333">
        <v>1245</v>
      </c>
      <c r="F138" s="333">
        <v>1290</v>
      </c>
      <c r="G138" s="333">
        <v>1069</v>
      </c>
      <c r="H138" s="333">
        <v>862</v>
      </c>
      <c r="I138" s="510">
        <v>612</v>
      </c>
      <c r="J138" s="379">
        <v>645</v>
      </c>
      <c r="K138" s="333">
        <v>431</v>
      </c>
      <c r="L138" s="333">
        <v>480</v>
      </c>
      <c r="M138" s="333">
        <v>480</v>
      </c>
      <c r="N138" s="333">
        <v>480</v>
      </c>
      <c r="O138" s="333">
        <v>480</v>
      </c>
      <c r="P138" s="333">
        <v>480</v>
      </c>
      <c r="Q138" s="333">
        <v>480</v>
      </c>
      <c r="R138" s="333">
        <v>480</v>
      </c>
      <c r="S138" s="333">
        <v>480</v>
      </c>
      <c r="T138" s="333">
        <v>480</v>
      </c>
    </row>
    <row r="139" spans="1:21" s="358" customFormat="1" ht="17.25" customHeight="1">
      <c r="A139" s="381" t="s">
        <v>871</v>
      </c>
      <c r="B139" s="378" t="s">
        <v>781</v>
      </c>
      <c r="C139" s="310" t="s">
        <v>94</v>
      </c>
      <c r="D139" s="333">
        <v>1094</v>
      </c>
      <c r="E139" s="333">
        <v>1502</v>
      </c>
      <c r="F139" s="333">
        <v>1646</v>
      </c>
      <c r="G139" s="333">
        <v>1296</v>
      </c>
      <c r="H139" s="333">
        <v>1996</v>
      </c>
      <c r="I139" s="510">
        <v>1380</v>
      </c>
      <c r="J139" s="379">
        <v>1456</v>
      </c>
      <c r="K139" s="333">
        <v>1300</v>
      </c>
      <c r="L139" s="333">
        <v>1300</v>
      </c>
      <c r="M139" s="333">
        <v>1300</v>
      </c>
      <c r="N139" s="333">
        <v>1300</v>
      </c>
      <c r="O139" s="333">
        <v>1300</v>
      </c>
      <c r="P139" s="333">
        <v>1300</v>
      </c>
      <c r="Q139" s="333">
        <v>1300</v>
      </c>
      <c r="R139" s="333">
        <v>1300</v>
      </c>
      <c r="S139" s="333">
        <v>1300</v>
      </c>
      <c r="T139" s="333">
        <v>1300</v>
      </c>
    </row>
    <row r="140" spans="1:21" s="358" customFormat="1" ht="17.25" customHeight="1">
      <c r="A140" s="377"/>
      <c r="B140" s="382" t="s">
        <v>782</v>
      </c>
      <c r="C140" s="310" t="s">
        <v>94</v>
      </c>
      <c r="D140" s="333">
        <v>797</v>
      </c>
      <c r="E140" s="333">
        <v>1287</v>
      </c>
      <c r="F140" s="333">
        <v>1449</v>
      </c>
      <c r="G140" s="333">
        <v>1127</v>
      </c>
      <c r="H140" s="333">
        <v>1357</v>
      </c>
      <c r="I140" s="510">
        <v>983</v>
      </c>
      <c r="J140" s="333">
        <v>1134</v>
      </c>
      <c r="K140" s="333">
        <v>1000</v>
      </c>
      <c r="L140" s="333">
        <v>1000</v>
      </c>
      <c r="M140" s="333">
        <v>1000</v>
      </c>
      <c r="N140" s="333">
        <v>1000</v>
      </c>
      <c r="O140" s="333">
        <v>1000</v>
      </c>
      <c r="P140" s="333">
        <v>1000</v>
      </c>
      <c r="Q140" s="333">
        <v>1000</v>
      </c>
      <c r="R140" s="333">
        <v>1000</v>
      </c>
      <c r="S140" s="333">
        <v>1000</v>
      </c>
      <c r="T140" s="333">
        <v>1000</v>
      </c>
    </row>
    <row r="141" spans="1:21" s="358" customFormat="1" ht="17.25" customHeight="1">
      <c r="A141" s="377"/>
      <c r="B141" s="383" t="s">
        <v>775</v>
      </c>
      <c r="C141" s="310" t="s">
        <v>94</v>
      </c>
      <c r="D141" s="333">
        <v>48</v>
      </c>
      <c r="E141" s="333">
        <v>48</v>
      </c>
      <c r="F141" s="333">
        <v>48</v>
      </c>
      <c r="G141" s="333"/>
      <c r="H141" s="333"/>
      <c r="I141" s="510"/>
      <c r="J141" s="379"/>
      <c r="K141" s="333"/>
      <c r="L141" s="333"/>
      <c r="M141" s="333"/>
      <c r="N141" s="333"/>
      <c r="O141" s="379"/>
      <c r="P141" s="384"/>
      <c r="Q141" s="384"/>
      <c r="R141" s="384"/>
      <c r="S141" s="384"/>
      <c r="T141" s="384"/>
    </row>
    <row r="142" spans="1:21" s="358" customFormat="1" ht="17.25" customHeight="1">
      <c r="A142" s="385"/>
      <c r="B142" s="380" t="s">
        <v>872</v>
      </c>
      <c r="C142" s="310" t="s">
        <v>94</v>
      </c>
      <c r="D142" s="333">
        <v>249</v>
      </c>
      <c r="E142" s="333">
        <v>167</v>
      </c>
      <c r="F142" s="333">
        <v>149</v>
      </c>
      <c r="G142" s="333">
        <v>169</v>
      </c>
      <c r="H142" s="333">
        <v>639</v>
      </c>
      <c r="I142" s="510">
        <v>397</v>
      </c>
      <c r="J142" s="379">
        <v>322</v>
      </c>
      <c r="K142" s="333">
        <v>300</v>
      </c>
      <c r="L142" s="333">
        <v>300</v>
      </c>
      <c r="M142" s="333">
        <v>300</v>
      </c>
      <c r="N142" s="333">
        <v>300</v>
      </c>
      <c r="O142" s="333">
        <v>300</v>
      </c>
      <c r="P142" s="333">
        <v>300</v>
      </c>
      <c r="Q142" s="333">
        <v>300</v>
      </c>
      <c r="R142" s="333">
        <v>300</v>
      </c>
      <c r="S142" s="333">
        <v>300</v>
      </c>
      <c r="T142" s="333">
        <v>300</v>
      </c>
    </row>
    <row r="143" spans="1:21" s="358" customFormat="1" ht="17.25" customHeight="1">
      <c r="A143" s="386" t="s">
        <v>873</v>
      </c>
      <c r="B143" s="387" t="s">
        <v>784</v>
      </c>
      <c r="C143" s="310" t="s">
        <v>94</v>
      </c>
      <c r="D143" s="342">
        <v>40</v>
      </c>
      <c r="E143" s="342">
        <v>120</v>
      </c>
      <c r="F143" s="342">
        <v>308</v>
      </c>
      <c r="G143" s="388">
        <v>151</v>
      </c>
      <c r="H143" s="388">
        <v>439</v>
      </c>
      <c r="I143" s="510"/>
      <c r="J143" s="379">
        <v>400</v>
      </c>
      <c r="K143" s="379">
        <v>400</v>
      </c>
      <c r="L143" s="379">
        <v>400</v>
      </c>
      <c r="M143" s="379">
        <v>400</v>
      </c>
      <c r="N143" s="379">
        <v>400</v>
      </c>
      <c r="O143" s="379">
        <v>400</v>
      </c>
      <c r="P143" s="379">
        <v>400</v>
      </c>
      <c r="Q143" s="379">
        <v>400</v>
      </c>
      <c r="R143" s="379">
        <v>400</v>
      </c>
      <c r="S143" s="379">
        <v>400</v>
      </c>
      <c r="T143" s="379">
        <v>400</v>
      </c>
    </row>
    <row r="144" spans="1:21" s="358" customFormat="1" ht="17.25" customHeight="1">
      <c r="A144" s="306">
        <v>3</v>
      </c>
      <c r="B144" s="313" t="s">
        <v>874</v>
      </c>
      <c r="C144" s="310" t="s">
        <v>94</v>
      </c>
      <c r="D144" s="360">
        <f>D145+D149</f>
        <v>680</v>
      </c>
      <c r="E144" s="360">
        <f t="shared" ref="E144:T144" si="26">E145+E149</f>
        <v>993</v>
      </c>
      <c r="F144" s="360">
        <f t="shared" si="26"/>
        <v>1063</v>
      </c>
      <c r="G144" s="360">
        <f t="shared" si="26"/>
        <v>1073</v>
      </c>
      <c r="H144" s="360">
        <f t="shared" si="26"/>
        <v>1079</v>
      </c>
      <c r="I144" s="501">
        <f t="shared" si="26"/>
        <v>930</v>
      </c>
      <c r="J144" s="360">
        <f t="shared" si="26"/>
        <v>947</v>
      </c>
      <c r="K144" s="360">
        <f t="shared" si="26"/>
        <v>1073</v>
      </c>
      <c r="L144" s="360">
        <f t="shared" si="26"/>
        <v>1486</v>
      </c>
      <c r="M144" s="360">
        <f t="shared" si="26"/>
        <v>1566</v>
      </c>
      <c r="N144" s="360">
        <f t="shared" si="26"/>
        <v>1630</v>
      </c>
      <c r="O144" s="360">
        <f t="shared" si="26"/>
        <v>1560</v>
      </c>
      <c r="P144" s="360">
        <f t="shared" si="26"/>
        <v>1780</v>
      </c>
      <c r="Q144" s="360">
        <f t="shared" si="26"/>
        <v>1460</v>
      </c>
      <c r="R144" s="360">
        <f t="shared" si="26"/>
        <v>1180</v>
      </c>
      <c r="S144" s="360">
        <f t="shared" si="26"/>
        <v>1120</v>
      </c>
      <c r="T144" s="360">
        <f t="shared" si="26"/>
        <v>1470</v>
      </c>
      <c r="U144" s="389"/>
    </row>
    <row r="145" spans="1:31" s="358" customFormat="1" ht="17.25" customHeight="1">
      <c r="A145" s="362" t="s">
        <v>875</v>
      </c>
      <c r="B145" s="390" t="s">
        <v>774</v>
      </c>
      <c r="C145" s="310" t="s">
        <v>94</v>
      </c>
      <c r="D145" s="391">
        <v>680</v>
      </c>
      <c r="E145" s="391">
        <v>993</v>
      </c>
      <c r="F145" s="391">
        <v>1063</v>
      </c>
      <c r="G145" s="391">
        <v>1006</v>
      </c>
      <c r="H145" s="391">
        <v>1012</v>
      </c>
      <c r="I145" s="511">
        <v>797</v>
      </c>
      <c r="J145" s="392">
        <v>715</v>
      </c>
      <c r="K145" s="392">
        <v>657</v>
      </c>
      <c r="L145" s="392">
        <v>870</v>
      </c>
      <c r="M145" s="392">
        <v>900</v>
      </c>
      <c r="N145" s="393">
        <v>970</v>
      </c>
      <c r="O145" s="393">
        <v>900</v>
      </c>
      <c r="P145" s="394">
        <v>1120</v>
      </c>
      <c r="Q145" s="394">
        <v>1000</v>
      </c>
      <c r="R145" s="394">
        <v>1120</v>
      </c>
      <c r="S145" s="394">
        <v>1000</v>
      </c>
      <c r="T145" s="394">
        <v>1320</v>
      </c>
      <c r="U145" s="389"/>
    </row>
    <row r="146" spans="1:31" s="358" customFormat="1" ht="17.25" customHeight="1">
      <c r="A146" s="362"/>
      <c r="B146" s="317" t="s">
        <v>870</v>
      </c>
      <c r="C146" s="310" t="s">
        <v>94</v>
      </c>
      <c r="D146" s="395">
        <v>48</v>
      </c>
      <c r="E146" s="395">
        <v>106</v>
      </c>
      <c r="F146" s="395">
        <v>166</v>
      </c>
      <c r="G146" s="395">
        <v>174</v>
      </c>
      <c r="H146" s="395">
        <v>175</v>
      </c>
      <c r="I146" s="505">
        <v>175</v>
      </c>
      <c r="J146" s="347">
        <v>216</v>
      </c>
      <c r="K146" s="396">
        <v>366</v>
      </c>
      <c r="L146" s="396">
        <v>500</v>
      </c>
      <c r="M146" s="396">
        <v>650</v>
      </c>
      <c r="N146" s="397">
        <v>650</v>
      </c>
      <c r="O146" s="397">
        <v>700</v>
      </c>
      <c r="P146" s="338">
        <v>800</v>
      </c>
      <c r="Q146" s="338">
        <v>800</v>
      </c>
      <c r="R146" s="338">
        <v>800</v>
      </c>
      <c r="S146" s="338">
        <v>800</v>
      </c>
      <c r="T146" s="338">
        <v>1000</v>
      </c>
      <c r="U146" s="398"/>
      <c r="V146" s="398"/>
      <c r="W146" s="398"/>
      <c r="X146" s="398"/>
      <c r="Y146" s="398"/>
      <c r="Z146" s="398"/>
      <c r="AA146" s="399"/>
      <c r="AB146" s="399"/>
      <c r="AC146" s="399"/>
      <c r="AD146" s="399"/>
      <c r="AE146" s="400"/>
    </row>
    <row r="147" spans="1:31" s="403" customFormat="1" ht="17.25" customHeight="1">
      <c r="A147" s="362"/>
      <c r="B147" s="318" t="s">
        <v>876</v>
      </c>
      <c r="C147" s="310" t="s">
        <v>94</v>
      </c>
      <c r="D147" s="395">
        <v>509</v>
      </c>
      <c r="E147" s="395">
        <v>847</v>
      </c>
      <c r="F147" s="395">
        <v>856</v>
      </c>
      <c r="G147" s="395">
        <v>832</v>
      </c>
      <c r="H147" s="395">
        <v>653</v>
      </c>
      <c r="I147" s="505">
        <v>438</v>
      </c>
      <c r="J147" s="347">
        <v>331</v>
      </c>
      <c r="K147" s="396">
        <v>291</v>
      </c>
      <c r="L147" s="396">
        <v>250</v>
      </c>
      <c r="M147" s="396">
        <v>250</v>
      </c>
      <c r="N147" s="397">
        <v>200</v>
      </c>
      <c r="O147" s="397">
        <v>200</v>
      </c>
      <c r="P147" s="338">
        <v>200</v>
      </c>
      <c r="Q147" s="338">
        <v>200</v>
      </c>
      <c r="R147" s="338">
        <v>200</v>
      </c>
      <c r="S147" s="338">
        <v>200</v>
      </c>
      <c r="T147" s="338">
        <v>200</v>
      </c>
      <c r="U147" s="398"/>
      <c r="V147" s="398"/>
      <c r="W147" s="398"/>
      <c r="X147" s="398"/>
      <c r="Y147" s="398"/>
      <c r="Z147" s="398"/>
      <c r="AA147" s="401"/>
      <c r="AB147" s="401"/>
      <c r="AC147" s="401"/>
      <c r="AD147" s="401"/>
      <c r="AE147" s="402"/>
    </row>
    <row r="148" spans="1:31" s="358" customFormat="1" ht="17.25" customHeight="1">
      <c r="A148" s="362"/>
      <c r="B148" s="319" t="s">
        <v>779</v>
      </c>
      <c r="C148" s="310" t="s">
        <v>94</v>
      </c>
      <c r="D148" s="395">
        <v>123</v>
      </c>
      <c r="E148" s="311">
        <v>40</v>
      </c>
      <c r="F148" s="311">
        <v>41</v>
      </c>
      <c r="G148" s="346"/>
      <c r="H148" s="346">
        <v>184</v>
      </c>
      <c r="I148" s="505">
        <v>184</v>
      </c>
      <c r="J148" s="311">
        <v>168</v>
      </c>
      <c r="K148" s="311"/>
      <c r="L148" s="311">
        <v>120</v>
      </c>
      <c r="M148" s="311"/>
      <c r="N148" s="311">
        <v>120</v>
      </c>
      <c r="O148" s="311"/>
      <c r="P148" s="338">
        <v>120</v>
      </c>
      <c r="Q148" s="338"/>
      <c r="R148" s="338">
        <v>120</v>
      </c>
      <c r="S148" s="338"/>
      <c r="T148" s="338">
        <v>120</v>
      </c>
      <c r="U148" s="398"/>
      <c r="V148" s="398"/>
      <c r="W148" s="398"/>
      <c r="X148" s="398"/>
      <c r="Y148" s="398"/>
      <c r="Z148" s="398"/>
      <c r="AA148" s="399"/>
      <c r="AB148" s="399"/>
      <c r="AC148" s="399"/>
      <c r="AD148" s="399"/>
      <c r="AE148" s="404"/>
    </row>
    <row r="149" spans="1:31" s="358" customFormat="1" ht="17.25" customHeight="1">
      <c r="A149" s="370" t="s">
        <v>877</v>
      </c>
      <c r="B149" s="363" t="s">
        <v>781</v>
      </c>
      <c r="C149" s="310" t="s">
        <v>94</v>
      </c>
      <c r="D149" s="360"/>
      <c r="E149" s="306"/>
      <c r="F149" s="306"/>
      <c r="G149" s="360">
        <v>67</v>
      </c>
      <c r="H149" s="360">
        <v>67</v>
      </c>
      <c r="I149" s="501">
        <v>133</v>
      </c>
      <c r="J149" s="360">
        <v>232</v>
      </c>
      <c r="K149" s="360">
        <v>416</v>
      </c>
      <c r="L149" s="360">
        <v>616</v>
      </c>
      <c r="M149" s="360">
        <v>666</v>
      </c>
      <c r="N149" s="360">
        <v>660</v>
      </c>
      <c r="O149" s="360">
        <v>660</v>
      </c>
      <c r="P149" s="394">
        <v>660</v>
      </c>
      <c r="Q149" s="394">
        <v>460</v>
      </c>
      <c r="R149" s="394">
        <v>60</v>
      </c>
      <c r="S149" s="394">
        <v>120</v>
      </c>
      <c r="T149" s="394">
        <v>150</v>
      </c>
    </row>
    <row r="150" spans="1:31" s="358" customFormat="1" ht="17.25" customHeight="1">
      <c r="A150" s="362"/>
      <c r="B150" s="321" t="s">
        <v>782</v>
      </c>
      <c r="C150" s="310" t="s">
        <v>94</v>
      </c>
      <c r="D150" s="311"/>
      <c r="E150" s="311"/>
      <c r="F150" s="311"/>
      <c r="G150" s="311">
        <v>67</v>
      </c>
      <c r="H150" s="311">
        <v>67</v>
      </c>
      <c r="I150" s="494">
        <v>133</v>
      </c>
      <c r="J150" s="311">
        <v>132</v>
      </c>
      <c r="K150" s="311">
        <v>66</v>
      </c>
      <c r="L150" s="311">
        <v>66</v>
      </c>
      <c r="M150" s="311">
        <v>66</v>
      </c>
      <c r="N150" s="311">
        <v>60</v>
      </c>
      <c r="O150" s="311">
        <v>60</v>
      </c>
      <c r="P150" s="346">
        <v>60</v>
      </c>
      <c r="Q150" s="346">
        <v>60</v>
      </c>
      <c r="R150" s="346">
        <v>60</v>
      </c>
      <c r="S150" s="346">
        <v>120</v>
      </c>
      <c r="T150" s="346">
        <v>150</v>
      </c>
    </row>
    <row r="151" spans="1:31" s="358" customFormat="1" ht="17.25" customHeight="1">
      <c r="A151" s="362"/>
      <c r="B151" s="317" t="s">
        <v>775</v>
      </c>
      <c r="C151" s="310" t="s">
        <v>94</v>
      </c>
      <c r="D151" s="311"/>
      <c r="E151" s="311"/>
      <c r="F151" s="311"/>
      <c r="G151" s="311"/>
      <c r="H151" s="311"/>
      <c r="I151" s="494"/>
      <c r="J151" s="311"/>
      <c r="K151" s="311">
        <v>200</v>
      </c>
      <c r="L151" s="311">
        <v>400</v>
      </c>
      <c r="M151" s="311">
        <v>450</v>
      </c>
      <c r="N151" s="311">
        <v>450</v>
      </c>
      <c r="O151" s="311">
        <v>450</v>
      </c>
      <c r="P151" s="346">
        <v>450</v>
      </c>
      <c r="Q151" s="346">
        <v>250</v>
      </c>
      <c r="R151" s="346"/>
      <c r="S151" s="346"/>
      <c r="T151" s="346"/>
    </row>
    <row r="152" spans="1:31" s="358" customFormat="1" ht="17.25" customHeight="1">
      <c r="A152" s="339"/>
      <c r="B152" s="318" t="s">
        <v>872</v>
      </c>
      <c r="C152" s="310" t="s">
        <v>94</v>
      </c>
      <c r="D152" s="310"/>
      <c r="E152" s="310"/>
      <c r="F152" s="310"/>
      <c r="G152" s="310"/>
      <c r="H152" s="310"/>
      <c r="I152" s="493"/>
      <c r="J152" s="311">
        <v>100</v>
      </c>
      <c r="K152" s="311">
        <v>150</v>
      </c>
      <c r="L152" s="311">
        <v>150</v>
      </c>
      <c r="M152" s="311">
        <v>150</v>
      </c>
      <c r="N152" s="311">
        <v>150</v>
      </c>
      <c r="O152" s="311">
        <v>150</v>
      </c>
      <c r="P152" s="340">
        <v>150</v>
      </c>
      <c r="Q152" s="340">
        <v>150</v>
      </c>
      <c r="R152" s="338"/>
      <c r="S152" s="338"/>
      <c r="T152" s="338"/>
    </row>
    <row r="153" spans="1:31" s="409" customFormat="1" ht="17.25" customHeight="1">
      <c r="A153" s="405">
        <v>4</v>
      </c>
      <c r="B153" s="406" t="s">
        <v>878</v>
      </c>
      <c r="C153" s="310" t="s">
        <v>94</v>
      </c>
      <c r="D153" s="407">
        <f>D154</f>
        <v>4074</v>
      </c>
      <c r="E153" s="407">
        <f>E154</f>
        <v>4174</v>
      </c>
      <c r="F153" s="407">
        <f>F154</f>
        <v>3915</v>
      </c>
      <c r="G153" s="407">
        <f>G154</f>
        <v>2634</v>
      </c>
      <c r="H153" s="407">
        <f>H154</f>
        <v>1988</v>
      </c>
      <c r="I153" s="512">
        <f>I154+I158</f>
        <v>2221</v>
      </c>
      <c r="J153" s="408">
        <f t="shared" ref="J153:S153" si="27">J154+J158</f>
        <v>2587</v>
      </c>
      <c r="K153" s="408">
        <f>K154+K158</f>
        <v>3056</v>
      </c>
      <c r="L153" s="408">
        <f>L154+L158</f>
        <v>3185</v>
      </c>
      <c r="M153" s="408">
        <f>M154+M158</f>
        <v>3450</v>
      </c>
      <c r="N153" s="408">
        <f>N154+N158</f>
        <v>3450</v>
      </c>
      <c r="O153" s="408">
        <f t="shared" si="27"/>
        <v>3450</v>
      </c>
      <c r="P153" s="408">
        <f t="shared" si="27"/>
        <v>3500</v>
      </c>
      <c r="Q153" s="408">
        <f t="shared" si="27"/>
        <v>3600</v>
      </c>
      <c r="R153" s="408">
        <f t="shared" si="27"/>
        <v>3700</v>
      </c>
      <c r="S153" s="408">
        <f t="shared" si="27"/>
        <v>3775</v>
      </c>
      <c r="T153" s="408">
        <f>T154+T158</f>
        <v>3740</v>
      </c>
    </row>
    <row r="154" spans="1:31" s="409" customFormat="1" ht="17.25" customHeight="1">
      <c r="A154" s="377" t="s">
        <v>879</v>
      </c>
      <c r="B154" s="410" t="s">
        <v>774</v>
      </c>
      <c r="C154" s="310" t="s">
        <v>94</v>
      </c>
      <c r="D154" s="411">
        <f t="shared" ref="D154:I154" si="28">D155+D156+D157</f>
        <v>4074</v>
      </c>
      <c r="E154" s="411">
        <f t="shared" si="28"/>
        <v>4174</v>
      </c>
      <c r="F154" s="411">
        <f t="shared" si="28"/>
        <v>3915</v>
      </c>
      <c r="G154" s="411">
        <f t="shared" si="28"/>
        <v>2634</v>
      </c>
      <c r="H154" s="411">
        <f t="shared" si="28"/>
        <v>1988</v>
      </c>
      <c r="I154" s="513">
        <f t="shared" si="28"/>
        <v>2210</v>
      </c>
      <c r="J154" s="412">
        <f t="shared" ref="J154:T154" si="29">SUM(J155:J157)</f>
        <v>2587</v>
      </c>
      <c r="K154" s="412">
        <f t="shared" si="29"/>
        <v>3056</v>
      </c>
      <c r="L154" s="412">
        <f t="shared" si="29"/>
        <v>3185</v>
      </c>
      <c r="M154" s="412">
        <f t="shared" si="29"/>
        <v>3450</v>
      </c>
      <c r="N154" s="412">
        <f t="shared" si="29"/>
        <v>3450</v>
      </c>
      <c r="O154" s="412">
        <f t="shared" si="29"/>
        <v>3450</v>
      </c>
      <c r="P154" s="412">
        <f t="shared" si="29"/>
        <v>3500</v>
      </c>
      <c r="Q154" s="412">
        <f t="shared" si="29"/>
        <v>3600</v>
      </c>
      <c r="R154" s="412">
        <f t="shared" si="29"/>
        <v>3700</v>
      </c>
      <c r="S154" s="412">
        <f t="shared" si="29"/>
        <v>3775</v>
      </c>
      <c r="T154" s="412">
        <f t="shared" si="29"/>
        <v>3740</v>
      </c>
    </row>
    <row r="155" spans="1:31" s="414" customFormat="1" ht="17.25" customHeight="1">
      <c r="A155" s="413"/>
      <c r="B155" s="383" t="s">
        <v>777</v>
      </c>
      <c r="C155" s="310" t="s">
        <v>94</v>
      </c>
      <c r="D155" s="411"/>
      <c r="E155" s="411"/>
      <c r="F155" s="411">
        <v>92</v>
      </c>
      <c r="G155" s="411">
        <v>209</v>
      </c>
      <c r="H155" s="411">
        <v>252</v>
      </c>
      <c r="I155" s="514">
        <v>202</v>
      </c>
      <c r="J155" s="412">
        <f>I155+250-43</f>
        <v>409</v>
      </c>
      <c r="K155" s="412">
        <f>J155+250-84</f>
        <v>575</v>
      </c>
      <c r="L155" s="412">
        <f>K155+250-40-250</f>
        <v>535</v>
      </c>
      <c r="M155" s="412">
        <v>750</v>
      </c>
      <c r="N155" s="412">
        <v>750</v>
      </c>
      <c r="O155" s="412">
        <v>750</v>
      </c>
      <c r="P155" s="412">
        <v>800</v>
      </c>
      <c r="Q155" s="412">
        <v>900</v>
      </c>
      <c r="R155" s="412">
        <v>1000</v>
      </c>
      <c r="S155" s="412">
        <v>1050</v>
      </c>
      <c r="T155" s="412">
        <v>990</v>
      </c>
    </row>
    <row r="156" spans="1:31" s="414" customFormat="1" ht="17.25" customHeight="1">
      <c r="A156" s="415"/>
      <c r="B156" s="380" t="s">
        <v>778</v>
      </c>
      <c r="C156" s="310" t="s">
        <v>94</v>
      </c>
      <c r="D156" s="411">
        <v>774</v>
      </c>
      <c r="E156" s="411">
        <v>1124</v>
      </c>
      <c r="F156" s="411">
        <v>835</v>
      </c>
      <c r="G156" s="411">
        <v>538</v>
      </c>
      <c r="H156" s="411">
        <v>288</v>
      </c>
      <c r="I156" s="514">
        <v>180</v>
      </c>
      <c r="J156" s="412">
        <f>I156+200-52</f>
        <v>328</v>
      </c>
      <c r="K156" s="412">
        <f>J156+200-147</f>
        <v>381</v>
      </c>
      <c r="L156" s="412">
        <v>550</v>
      </c>
      <c r="M156" s="412">
        <v>600</v>
      </c>
      <c r="N156" s="412">
        <v>600</v>
      </c>
      <c r="O156" s="412">
        <v>600</v>
      </c>
      <c r="P156" s="412">
        <v>600</v>
      </c>
      <c r="Q156" s="412">
        <v>600</v>
      </c>
      <c r="R156" s="412">
        <v>600</v>
      </c>
      <c r="S156" s="412">
        <v>625</v>
      </c>
      <c r="T156" s="412">
        <v>650</v>
      </c>
    </row>
    <row r="157" spans="1:31" s="414" customFormat="1" ht="17.25" customHeight="1">
      <c r="A157" s="416"/>
      <c r="B157" s="319" t="s">
        <v>779</v>
      </c>
      <c r="C157" s="310" t="s">
        <v>94</v>
      </c>
      <c r="D157" s="411">
        <v>3300</v>
      </c>
      <c r="E157" s="411">
        <v>3050</v>
      </c>
      <c r="F157" s="411">
        <v>2988</v>
      </c>
      <c r="G157" s="411">
        <v>1887</v>
      </c>
      <c r="H157" s="411">
        <v>1448</v>
      </c>
      <c r="I157" s="514">
        <v>1828</v>
      </c>
      <c r="J157" s="412">
        <v>1850</v>
      </c>
      <c r="K157" s="412">
        <v>2100</v>
      </c>
      <c r="L157" s="412">
        <v>2100</v>
      </c>
      <c r="M157" s="412">
        <v>2100</v>
      </c>
      <c r="N157" s="412">
        <v>2100</v>
      </c>
      <c r="O157" s="412">
        <v>2100</v>
      </c>
      <c r="P157" s="412">
        <v>2100</v>
      </c>
      <c r="Q157" s="412">
        <v>2100</v>
      </c>
      <c r="R157" s="412">
        <v>2100</v>
      </c>
      <c r="S157" s="412">
        <v>2100</v>
      </c>
      <c r="T157" s="412">
        <v>2100</v>
      </c>
    </row>
    <row r="158" spans="1:31" s="414" customFormat="1" ht="17.25" customHeight="1">
      <c r="A158" s="413" t="s">
        <v>880</v>
      </c>
      <c r="B158" s="378" t="s">
        <v>781</v>
      </c>
      <c r="C158" s="310" t="s">
        <v>94</v>
      </c>
      <c r="D158" s="411"/>
      <c r="E158" s="411"/>
      <c r="F158" s="411"/>
      <c r="G158" s="411"/>
      <c r="H158" s="411"/>
      <c r="I158" s="514">
        <v>11</v>
      </c>
      <c r="J158" s="417"/>
      <c r="K158" s="418"/>
      <c r="L158" s="419"/>
      <c r="M158" s="419"/>
      <c r="N158" s="419"/>
      <c r="O158" s="417"/>
      <c r="P158" s="420"/>
      <c r="Q158" s="420"/>
      <c r="R158" s="420"/>
      <c r="S158" s="420"/>
      <c r="T158" s="421"/>
    </row>
    <row r="159" spans="1:31" s="414" customFormat="1" ht="17.25" customHeight="1">
      <c r="A159" s="377"/>
      <c r="B159" s="383" t="s">
        <v>881</v>
      </c>
      <c r="C159" s="310" t="s">
        <v>94</v>
      </c>
      <c r="D159" s="411"/>
      <c r="E159" s="411"/>
      <c r="F159" s="411"/>
      <c r="G159" s="411"/>
      <c r="H159" s="411"/>
      <c r="I159" s="514"/>
      <c r="J159" s="417"/>
      <c r="K159" s="418"/>
      <c r="L159" s="419"/>
      <c r="M159" s="419"/>
      <c r="N159" s="419"/>
      <c r="O159" s="417"/>
      <c r="P159" s="420"/>
      <c r="Q159" s="420"/>
      <c r="R159" s="420"/>
      <c r="S159" s="420"/>
      <c r="T159" s="421"/>
    </row>
    <row r="160" spans="1:31" s="414" customFormat="1" ht="17.25" customHeight="1">
      <c r="A160" s="422"/>
      <c r="B160" s="380" t="s">
        <v>872</v>
      </c>
      <c r="C160" s="310" t="s">
        <v>94</v>
      </c>
      <c r="D160" s="411"/>
      <c r="E160" s="411"/>
      <c r="F160" s="411"/>
      <c r="G160" s="411"/>
      <c r="H160" s="411"/>
      <c r="I160" s="514">
        <v>11</v>
      </c>
      <c r="J160" s="417"/>
      <c r="K160" s="418"/>
      <c r="L160" s="419"/>
      <c r="M160" s="419"/>
      <c r="N160" s="419"/>
      <c r="O160" s="417"/>
      <c r="P160" s="420"/>
      <c r="Q160" s="420"/>
      <c r="R160" s="420"/>
      <c r="S160" s="420"/>
      <c r="T160" s="421"/>
    </row>
    <row r="161" spans="1:20" s="358" customFormat="1" ht="17.25" customHeight="1">
      <c r="A161" s="323" t="s">
        <v>458</v>
      </c>
      <c r="B161" s="313" t="s">
        <v>785</v>
      </c>
      <c r="C161" s="310"/>
      <c r="D161" s="310"/>
      <c r="E161" s="310"/>
      <c r="F161" s="310"/>
      <c r="G161" s="310"/>
      <c r="H161" s="310"/>
      <c r="I161" s="493"/>
      <c r="J161" s="310"/>
      <c r="K161" s="310"/>
      <c r="L161" s="310"/>
      <c r="M161" s="357"/>
      <c r="N161" s="357"/>
      <c r="O161" s="357"/>
      <c r="P161" s="357"/>
      <c r="Q161" s="357"/>
      <c r="R161" s="357"/>
      <c r="S161" s="357"/>
      <c r="T161" s="344"/>
    </row>
    <row r="162" spans="1:20" s="358" customFormat="1" ht="17.25" customHeight="1">
      <c r="A162" s="423">
        <v>1</v>
      </c>
      <c r="B162" s="307" t="s">
        <v>882</v>
      </c>
      <c r="C162" s="310"/>
      <c r="D162" s="306">
        <v>172</v>
      </c>
      <c r="E162" s="306">
        <v>170</v>
      </c>
      <c r="F162" s="306">
        <v>178</v>
      </c>
      <c r="G162" s="306">
        <v>181</v>
      </c>
      <c r="H162" s="306">
        <v>180</v>
      </c>
      <c r="I162" s="492">
        <v>174</v>
      </c>
      <c r="J162" s="391">
        <v>190</v>
      </c>
      <c r="K162" s="391">
        <v>190</v>
      </c>
      <c r="L162" s="391">
        <v>195</v>
      </c>
      <c r="M162" s="391">
        <v>195</v>
      </c>
      <c r="N162" s="391">
        <v>200</v>
      </c>
      <c r="O162" s="424">
        <v>200</v>
      </c>
      <c r="P162" s="394">
        <v>200</v>
      </c>
      <c r="Q162" s="394">
        <v>200</v>
      </c>
      <c r="R162" s="394">
        <v>205</v>
      </c>
      <c r="S162" s="394">
        <v>205</v>
      </c>
      <c r="T162" s="394">
        <v>210</v>
      </c>
    </row>
    <row r="163" spans="1:20" s="358" customFormat="1" ht="17.25" customHeight="1">
      <c r="A163" s="425"/>
      <c r="B163" s="426" t="s">
        <v>758</v>
      </c>
      <c r="C163" s="310" t="s">
        <v>94</v>
      </c>
      <c r="D163" s="310">
        <v>3</v>
      </c>
      <c r="E163" s="310">
        <v>3</v>
      </c>
      <c r="F163" s="310">
        <v>3</v>
      </c>
      <c r="G163" s="340">
        <v>3</v>
      </c>
      <c r="H163" s="340">
        <v>3</v>
      </c>
      <c r="I163" s="508">
        <v>3</v>
      </c>
      <c r="J163" s="338">
        <v>3</v>
      </c>
      <c r="K163" s="336">
        <v>3</v>
      </c>
      <c r="L163" s="336">
        <v>3</v>
      </c>
      <c r="M163" s="338">
        <v>3</v>
      </c>
      <c r="N163" s="338">
        <v>3</v>
      </c>
      <c r="O163" s="427">
        <v>3</v>
      </c>
      <c r="P163" s="338">
        <v>3</v>
      </c>
      <c r="Q163" s="338">
        <v>3</v>
      </c>
      <c r="R163" s="338">
        <v>3</v>
      </c>
      <c r="S163" s="338">
        <v>3</v>
      </c>
      <c r="T163" s="338">
        <v>3</v>
      </c>
    </row>
    <row r="164" spans="1:20" s="358" customFormat="1" ht="17.25" customHeight="1">
      <c r="A164" s="323"/>
      <c r="B164" s="308" t="s">
        <v>786</v>
      </c>
      <c r="C164" s="310"/>
      <c r="D164" s="310"/>
      <c r="E164" s="310"/>
      <c r="F164" s="310"/>
      <c r="G164" s="310"/>
      <c r="H164" s="310"/>
      <c r="I164" s="493"/>
      <c r="J164" s="394"/>
      <c r="K164" s="391"/>
      <c r="L164" s="391"/>
      <c r="M164" s="394"/>
      <c r="N164" s="394"/>
      <c r="O164" s="427"/>
      <c r="P164" s="338"/>
      <c r="Q164" s="338"/>
      <c r="R164" s="338"/>
      <c r="S164" s="338"/>
      <c r="T164" s="338"/>
    </row>
    <row r="165" spans="1:20" s="358" customFormat="1" ht="17.25" customHeight="1">
      <c r="A165" s="323"/>
      <c r="B165" s="328" t="s">
        <v>787</v>
      </c>
      <c r="C165" s="310" t="s">
        <v>94</v>
      </c>
      <c r="D165" s="310"/>
      <c r="E165" s="310"/>
      <c r="F165" s="310"/>
      <c r="G165" s="310"/>
      <c r="H165" s="310"/>
      <c r="I165" s="493"/>
      <c r="J165" s="394"/>
      <c r="K165" s="391"/>
      <c r="L165" s="391"/>
      <c r="M165" s="338">
        <v>1</v>
      </c>
      <c r="N165" s="338">
        <v>1</v>
      </c>
      <c r="O165" s="427">
        <v>1</v>
      </c>
      <c r="P165" s="338">
        <v>1</v>
      </c>
      <c r="Q165" s="338">
        <v>1</v>
      </c>
      <c r="R165" s="338">
        <v>1</v>
      </c>
      <c r="S165" s="338">
        <v>1</v>
      </c>
      <c r="T165" s="338">
        <v>1</v>
      </c>
    </row>
    <row r="166" spans="1:20" s="358" customFormat="1" ht="17.25" customHeight="1">
      <c r="A166" s="323"/>
      <c r="B166" s="308" t="s">
        <v>788</v>
      </c>
      <c r="C166" s="310" t="s">
        <v>94</v>
      </c>
      <c r="D166" s="310">
        <v>3</v>
      </c>
      <c r="E166" s="310">
        <v>3</v>
      </c>
      <c r="F166" s="310">
        <v>3</v>
      </c>
      <c r="G166" s="310">
        <v>3</v>
      </c>
      <c r="H166" s="310">
        <v>3</v>
      </c>
      <c r="I166" s="493">
        <v>3</v>
      </c>
      <c r="J166" s="338">
        <v>3</v>
      </c>
      <c r="K166" s="336">
        <v>3</v>
      </c>
      <c r="L166" s="336">
        <v>3</v>
      </c>
      <c r="M166" s="338">
        <v>2</v>
      </c>
      <c r="N166" s="338">
        <v>2</v>
      </c>
      <c r="O166" s="427">
        <v>2</v>
      </c>
      <c r="P166" s="338">
        <v>2</v>
      </c>
      <c r="Q166" s="338">
        <v>2</v>
      </c>
      <c r="R166" s="338">
        <v>2</v>
      </c>
      <c r="S166" s="338">
        <v>2</v>
      </c>
      <c r="T166" s="338">
        <v>2</v>
      </c>
    </row>
    <row r="167" spans="1:20" s="358" customFormat="1" ht="17.25" customHeight="1">
      <c r="A167" s="323"/>
      <c r="B167" s="328" t="s">
        <v>135</v>
      </c>
      <c r="C167" s="310" t="s">
        <v>94</v>
      </c>
      <c r="D167" s="310"/>
      <c r="E167" s="310"/>
      <c r="F167" s="310"/>
      <c r="G167" s="310"/>
      <c r="H167" s="310"/>
      <c r="I167" s="493"/>
      <c r="J167" s="394"/>
      <c r="K167" s="391"/>
      <c r="L167" s="391"/>
      <c r="M167" s="394"/>
      <c r="N167" s="394"/>
      <c r="O167" s="427"/>
      <c r="P167" s="338"/>
      <c r="Q167" s="338"/>
      <c r="R167" s="338"/>
      <c r="S167" s="338"/>
      <c r="T167" s="338"/>
    </row>
    <row r="168" spans="1:20" s="358" customFormat="1" ht="17.25" customHeight="1">
      <c r="A168" s="428"/>
      <c r="B168" s="330" t="s">
        <v>790</v>
      </c>
      <c r="C168" s="306"/>
      <c r="D168" s="306">
        <v>144</v>
      </c>
      <c r="E168" s="306">
        <v>140</v>
      </c>
      <c r="F168" s="306">
        <v>150</v>
      </c>
      <c r="G168" s="306">
        <v>156</v>
      </c>
      <c r="H168" s="306">
        <v>152</v>
      </c>
      <c r="I168" s="492">
        <v>150</v>
      </c>
      <c r="J168" s="391">
        <v>162</v>
      </c>
      <c r="K168" s="391">
        <v>162</v>
      </c>
      <c r="L168" s="391">
        <v>165</v>
      </c>
      <c r="M168" s="391">
        <v>165</v>
      </c>
      <c r="N168" s="391">
        <v>170</v>
      </c>
      <c r="O168" s="424">
        <v>170</v>
      </c>
      <c r="P168" s="394">
        <v>170</v>
      </c>
      <c r="Q168" s="394">
        <v>170</v>
      </c>
      <c r="R168" s="394">
        <v>173</v>
      </c>
      <c r="S168" s="394">
        <v>173</v>
      </c>
      <c r="T168" s="394">
        <v>175</v>
      </c>
    </row>
    <row r="169" spans="1:20" s="358" customFormat="1" ht="17.25" customHeight="1">
      <c r="A169" s="428"/>
      <c r="B169" s="329" t="s">
        <v>217</v>
      </c>
      <c r="C169" s="310"/>
      <c r="D169" s="310"/>
      <c r="E169" s="310"/>
      <c r="F169" s="310"/>
      <c r="G169" s="340"/>
      <c r="H169" s="340"/>
      <c r="I169" s="508"/>
      <c r="J169" s="338"/>
      <c r="K169" s="336"/>
      <c r="L169" s="336"/>
      <c r="M169" s="338"/>
      <c r="N169" s="338"/>
      <c r="O169" s="427"/>
      <c r="P169" s="338"/>
      <c r="Q169" s="338"/>
      <c r="R169" s="338"/>
      <c r="S169" s="338"/>
      <c r="T169" s="338"/>
    </row>
    <row r="170" spans="1:20" s="358" customFormat="1" ht="17.25" customHeight="1">
      <c r="A170" s="428"/>
      <c r="B170" s="328" t="s">
        <v>787</v>
      </c>
      <c r="C170" s="310" t="s">
        <v>94</v>
      </c>
      <c r="D170" s="310"/>
      <c r="E170" s="310"/>
      <c r="F170" s="310"/>
      <c r="G170" s="340">
        <v>2</v>
      </c>
      <c r="H170" s="340">
        <v>1</v>
      </c>
      <c r="I170" s="508">
        <v>1</v>
      </c>
      <c r="J170" s="338">
        <v>3</v>
      </c>
      <c r="K170" s="336">
        <v>4</v>
      </c>
      <c r="L170" s="336">
        <v>5</v>
      </c>
      <c r="M170" s="338">
        <v>6</v>
      </c>
      <c r="N170" s="338">
        <v>10</v>
      </c>
      <c r="O170" s="427">
        <v>13</v>
      </c>
      <c r="P170" s="338">
        <v>15</v>
      </c>
      <c r="Q170" s="338">
        <v>20</v>
      </c>
      <c r="R170" s="338">
        <v>25</v>
      </c>
      <c r="S170" s="338">
        <v>30</v>
      </c>
      <c r="T170" s="338">
        <v>55</v>
      </c>
    </row>
    <row r="171" spans="1:20" s="358" customFormat="1" ht="17.25" customHeight="1">
      <c r="A171" s="428"/>
      <c r="B171" s="308" t="s">
        <v>788</v>
      </c>
      <c r="C171" s="310" t="s">
        <v>94</v>
      </c>
      <c r="D171" s="310">
        <v>65</v>
      </c>
      <c r="E171" s="310">
        <v>78</v>
      </c>
      <c r="F171" s="310">
        <v>76</v>
      </c>
      <c r="G171" s="340">
        <v>78</v>
      </c>
      <c r="H171" s="340">
        <v>78</v>
      </c>
      <c r="I171" s="508">
        <v>81</v>
      </c>
      <c r="J171" s="338">
        <v>90</v>
      </c>
      <c r="K171" s="336">
        <v>102</v>
      </c>
      <c r="L171" s="336">
        <v>112</v>
      </c>
      <c r="M171" s="338">
        <v>120</v>
      </c>
      <c r="N171" s="338">
        <v>130</v>
      </c>
      <c r="O171" s="427">
        <v>140</v>
      </c>
      <c r="P171" s="338">
        <v>150</v>
      </c>
      <c r="Q171" s="338">
        <v>150</v>
      </c>
      <c r="R171" s="338">
        <v>145</v>
      </c>
      <c r="S171" s="338">
        <v>143</v>
      </c>
      <c r="T171" s="338">
        <v>120</v>
      </c>
    </row>
    <row r="172" spans="1:20" s="358" customFormat="1" ht="17.25" customHeight="1">
      <c r="A172" s="428"/>
      <c r="B172" s="328" t="s">
        <v>135</v>
      </c>
      <c r="C172" s="310" t="s">
        <v>94</v>
      </c>
      <c r="D172" s="310">
        <v>75</v>
      </c>
      <c r="E172" s="310">
        <v>60</v>
      </c>
      <c r="F172" s="310">
        <v>74</v>
      </c>
      <c r="G172" s="340">
        <v>76</v>
      </c>
      <c r="H172" s="340">
        <v>73</v>
      </c>
      <c r="I172" s="508">
        <v>68</v>
      </c>
      <c r="J172" s="338"/>
      <c r="K172" s="336">
        <v>56</v>
      </c>
      <c r="L172" s="336">
        <v>45</v>
      </c>
      <c r="M172" s="338">
        <v>39</v>
      </c>
      <c r="N172" s="338">
        <v>30</v>
      </c>
      <c r="O172" s="427">
        <v>17</v>
      </c>
      <c r="P172" s="338">
        <v>5</v>
      </c>
      <c r="Q172" s="338"/>
      <c r="R172" s="338"/>
      <c r="S172" s="338"/>
      <c r="T172" s="338"/>
    </row>
    <row r="173" spans="1:20" s="358" customFormat="1" ht="17.25" customHeight="1">
      <c r="A173" s="428"/>
      <c r="B173" s="328" t="s">
        <v>136</v>
      </c>
      <c r="C173" s="310" t="s">
        <v>94</v>
      </c>
      <c r="D173" s="310">
        <v>4</v>
      </c>
      <c r="E173" s="310">
        <v>2</v>
      </c>
      <c r="F173" s="310"/>
      <c r="G173" s="340"/>
      <c r="H173" s="340"/>
      <c r="I173" s="508"/>
      <c r="J173" s="338"/>
      <c r="K173" s="336"/>
      <c r="L173" s="336"/>
      <c r="M173" s="338"/>
      <c r="N173" s="338"/>
      <c r="O173" s="427"/>
      <c r="P173" s="338"/>
      <c r="Q173" s="338"/>
      <c r="R173" s="338"/>
      <c r="S173" s="338"/>
      <c r="T173" s="338"/>
    </row>
    <row r="174" spans="1:20" s="358" customFormat="1" ht="17.25" customHeight="1">
      <c r="A174" s="428"/>
      <c r="B174" s="328" t="s">
        <v>883</v>
      </c>
      <c r="C174" s="310" t="s">
        <v>94</v>
      </c>
      <c r="D174" s="310"/>
      <c r="E174" s="310"/>
      <c r="F174" s="310"/>
      <c r="G174" s="340"/>
      <c r="H174" s="340"/>
      <c r="I174" s="508"/>
      <c r="J174" s="338"/>
      <c r="K174" s="336"/>
      <c r="L174" s="336"/>
      <c r="M174" s="338"/>
      <c r="N174" s="338"/>
      <c r="O174" s="427"/>
      <c r="P174" s="338"/>
      <c r="Q174" s="338"/>
      <c r="R174" s="338"/>
      <c r="S174" s="338"/>
      <c r="T174" s="338"/>
    </row>
    <row r="175" spans="1:20" s="358" customFormat="1" ht="17.25" customHeight="1">
      <c r="A175" s="428"/>
      <c r="B175" s="331" t="s">
        <v>791</v>
      </c>
      <c r="C175" s="310"/>
      <c r="D175" s="339"/>
      <c r="E175" s="339"/>
      <c r="F175" s="339"/>
      <c r="G175" s="339"/>
      <c r="H175" s="339"/>
      <c r="I175" s="515"/>
      <c r="J175" s="427"/>
      <c r="K175" s="427"/>
      <c r="L175" s="427"/>
      <c r="M175" s="427"/>
      <c r="N175" s="427"/>
      <c r="O175" s="427"/>
      <c r="P175" s="338"/>
      <c r="Q175" s="338"/>
      <c r="R175" s="338"/>
      <c r="S175" s="338"/>
      <c r="T175" s="338"/>
    </row>
    <row r="176" spans="1:20" s="358" customFormat="1" ht="17.25" customHeight="1">
      <c r="A176" s="428"/>
      <c r="B176" s="332" t="s">
        <v>884</v>
      </c>
      <c r="C176" s="310"/>
      <c r="D176" s="339"/>
      <c r="E176" s="339"/>
      <c r="F176" s="339"/>
      <c r="G176" s="339"/>
      <c r="H176" s="339"/>
      <c r="I176" s="515"/>
      <c r="J176" s="427"/>
      <c r="K176" s="427"/>
      <c r="L176" s="427"/>
      <c r="M176" s="427"/>
      <c r="N176" s="427"/>
      <c r="O176" s="427"/>
      <c r="P176" s="427"/>
      <c r="Q176" s="427"/>
      <c r="R176" s="427"/>
      <c r="S176" s="427"/>
      <c r="T176" s="427"/>
    </row>
    <row r="177" spans="1:20" s="358" customFormat="1" ht="17.25" customHeight="1">
      <c r="A177" s="428"/>
      <c r="B177" s="419" t="s">
        <v>885</v>
      </c>
      <c r="C177" s="310" t="s">
        <v>94</v>
      </c>
      <c r="D177" s="334">
        <v>5</v>
      </c>
      <c r="E177" s="334">
        <v>5</v>
      </c>
      <c r="F177" s="334">
        <v>7</v>
      </c>
      <c r="G177" s="334">
        <v>6</v>
      </c>
      <c r="H177" s="334">
        <v>5</v>
      </c>
      <c r="I177" s="516">
        <v>5</v>
      </c>
      <c r="J177" s="334">
        <v>5</v>
      </c>
      <c r="K177" s="335">
        <v>5</v>
      </c>
      <c r="L177" s="335">
        <v>5</v>
      </c>
      <c r="M177" s="335">
        <v>5</v>
      </c>
      <c r="N177" s="335">
        <v>6</v>
      </c>
      <c r="O177" s="335">
        <v>6</v>
      </c>
      <c r="P177" s="335">
        <v>6</v>
      </c>
      <c r="Q177" s="335">
        <v>5</v>
      </c>
      <c r="R177" s="335">
        <v>5</v>
      </c>
      <c r="S177" s="335">
        <v>5</v>
      </c>
      <c r="T177" s="335">
        <v>5</v>
      </c>
    </row>
    <row r="178" spans="1:20" s="358" customFormat="1" ht="17.25" customHeight="1">
      <c r="A178" s="428"/>
      <c r="B178" s="419" t="s">
        <v>886</v>
      </c>
      <c r="C178" s="310" t="s">
        <v>94</v>
      </c>
      <c r="D178" s="334">
        <v>20</v>
      </c>
      <c r="E178" s="334">
        <v>20</v>
      </c>
      <c r="F178" s="334">
        <v>19</v>
      </c>
      <c r="G178" s="334">
        <v>18</v>
      </c>
      <c r="H178" s="334">
        <v>18</v>
      </c>
      <c r="I178" s="516">
        <v>18</v>
      </c>
      <c r="J178" s="334">
        <v>18</v>
      </c>
      <c r="K178" s="335">
        <v>18</v>
      </c>
      <c r="L178" s="335">
        <v>18</v>
      </c>
      <c r="M178" s="335">
        <v>18</v>
      </c>
      <c r="N178" s="335">
        <v>18</v>
      </c>
      <c r="O178" s="335">
        <v>18</v>
      </c>
      <c r="P178" s="335">
        <v>18</v>
      </c>
      <c r="Q178" s="335">
        <v>18</v>
      </c>
      <c r="R178" s="335">
        <v>18</v>
      </c>
      <c r="S178" s="335">
        <v>18</v>
      </c>
      <c r="T178" s="335">
        <v>18</v>
      </c>
    </row>
    <row r="179" spans="1:20" s="358" customFormat="1" ht="17.25" customHeight="1">
      <c r="A179" s="428"/>
      <c r="B179" s="419" t="s">
        <v>887</v>
      </c>
      <c r="C179" s="310" t="s">
        <v>94</v>
      </c>
      <c r="D179" s="334">
        <v>4</v>
      </c>
      <c r="E179" s="334">
        <v>4</v>
      </c>
      <c r="F179" s="334">
        <v>4</v>
      </c>
      <c r="G179" s="334">
        <v>4</v>
      </c>
      <c r="H179" s="334">
        <v>4</v>
      </c>
      <c r="I179" s="516">
        <v>4</v>
      </c>
      <c r="J179" s="334">
        <v>4</v>
      </c>
      <c r="K179" s="335">
        <v>4</v>
      </c>
      <c r="L179" s="335">
        <v>6</v>
      </c>
      <c r="M179" s="335">
        <v>6</v>
      </c>
      <c r="N179" s="335">
        <v>6</v>
      </c>
      <c r="O179" s="335">
        <v>6</v>
      </c>
      <c r="P179" s="335">
        <v>6</v>
      </c>
      <c r="Q179" s="335">
        <v>5</v>
      </c>
      <c r="R179" s="335">
        <v>6</v>
      </c>
      <c r="S179" s="335">
        <v>6</v>
      </c>
      <c r="T179" s="335">
        <v>6</v>
      </c>
    </row>
    <row r="180" spans="1:20" s="358" customFormat="1" ht="17.25" customHeight="1">
      <c r="A180" s="428"/>
      <c r="B180" s="419" t="s">
        <v>888</v>
      </c>
      <c r="C180" s="310" t="s">
        <v>94</v>
      </c>
      <c r="D180" s="334">
        <v>5</v>
      </c>
      <c r="E180" s="334">
        <v>5</v>
      </c>
      <c r="F180" s="334">
        <v>4</v>
      </c>
      <c r="G180" s="334">
        <v>6</v>
      </c>
      <c r="H180" s="334">
        <v>6</v>
      </c>
      <c r="I180" s="516">
        <v>6</v>
      </c>
      <c r="J180" s="334">
        <v>6</v>
      </c>
      <c r="K180" s="335">
        <v>6</v>
      </c>
      <c r="L180" s="335">
        <v>6</v>
      </c>
      <c r="M180" s="335">
        <v>6</v>
      </c>
      <c r="N180" s="335">
        <v>6</v>
      </c>
      <c r="O180" s="335">
        <v>6</v>
      </c>
      <c r="P180" s="335">
        <v>6</v>
      </c>
      <c r="Q180" s="335">
        <v>6</v>
      </c>
      <c r="R180" s="335">
        <v>6</v>
      </c>
      <c r="S180" s="335">
        <v>6</v>
      </c>
      <c r="T180" s="335">
        <v>6</v>
      </c>
    </row>
    <row r="181" spans="1:20" s="358" customFormat="1" ht="17.25" customHeight="1">
      <c r="A181" s="428"/>
      <c r="B181" s="419" t="s">
        <v>889</v>
      </c>
      <c r="C181" s="310" t="s">
        <v>94</v>
      </c>
      <c r="D181" s="334">
        <v>15</v>
      </c>
      <c r="E181" s="334">
        <v>15</v>
      </c>
      <c r="F181" s="334">
        <v>15</v>
      </c>
      <c r="G181" s="334">
        <v>16</v>
      </c>
      <c r="H181" s="334">
        <v>14</v>
      </c>
      <c r="I181" s="516">
        <v>14</v>
      </c>
      <c r="J181" s="334">
        <v>14</v>
      </c>
      <c r="K181" s="335">
        <v>13</v>
      </c>
      <c r="L181" s="335">
        <v>13</v>
      </c>
      <c r="M181" s="335">
        <v>13</v>
      </c>
      <c r="N181" s="335">
        <v>13</v>
      </c>
      <c r="O181" s="335">
        <v>13</v>
      </c>
      <c r="P181" s="335">
        <v>13</v>
      </c>
      <c r="Q181" s="335">
        <v>13</v>
      </c>
      <c r="R181" s="335">
        <v>13</v>
      </c>
      <c r="S181" s="335">
        <v>13</v>
      </c>
      <c r="T181" s="335">
        <v>13</v>
      </c>
    </row>
    <row r="182" spans="1:20" s="358" customFormat="1" ht="17.25" customHeight="1">
      <c r="A182" s="428"/>
      <c r="B182" s="419" t="s">
        <v>890</v>
      </c>
      <c r="C182" s="310" t="s">
        <v>94</v>
      </c>
      <c r="D182" s="334">
        <v>6</v>
      </c>
      <c r="E182" s="334">
        <v>6</v>
      </c>
      <c r="F182" s="334">
        <v>6</v>
      </c>
      <c r="G182" s="334">
        <v>5</v>
      </c>
      <c r="H182" s="334">
        <v>5</v>
      </c>
      <c r="I182" s="516">
        <v>5</v>
      </c>
      <c r="J182" s="334">
        <v>5</v>
      </c>
      <c r="K182" s="335">
        <v>5</v>
      </c>
      <c r="L182" s="335">
        <v>6</v>
      </c>
      <c r="M182" s="335">
        <v>6</v>
      </c>
      <c r="N182" s="335">
        <v>6</v>
      </c>
      <c r="O182" s="335">
        <v>6</v>
      </c>
      <c r="P182" s="335">
        <v>5</v>
      </c>
      <c r="Q182" s="335">
        <v>5</v>
      </c>
      <c r="R182" s="335">
        <v>6</v>
      </c>
      <c r="S182" s="335">
        <v>6</v>
      </c>
      <c r="T182" s="335">
        <v>6</v>
      </c>
    </row>
    <row r="183" spans="1:20" s="358" customFormat="1" ht="17.25" customHeight="1">
      <c r="A183" s="428"/>
      <c r="B183" s="419" t="s">
        <v>891</v>
      </c>
      <c r="C183" s="310" t="s">
        <v>94</v>
      </c>
      <c r="D183" s="334">
        <v>8</v>
      </c>
      <c r="E183" s="334">
        <v>8</v>
      </c>
      <c r="F183" s="334">
        <v>8</v>
      </c>
      <c r="G183" s="334">
        <v>8</v>
      </c>
      <c r="H183" s="334">
        <v>7</v>
      </c>
      <c r="I183" s="516">
        <v>7</v>
      </c>
      <c r="J183" s="334">
        <v>7</v>
      </c>
      <c r="K183" s="335">
        <v>7</v>
      </c>
      <c r="L183" s="335">
        <v>7</v>
      </c>
      <c r="M183" s="335">
        <v>7</v>
      </c>
      <c r="N183" s="335">
        <v>7</v>
      </c>
      <c r="O183" s="335">
        <v>7</v>
      </c>
      <c r="P183" s="335">
        <v>7</v>
      </c>
      <c r="Q183" s="335">
        <v>7</v>
      </c>
      <c r="R183" s="335">
        <v>7</v>
      </c>
      <c r="S183" s="335">
        <v>7</v>
      </c>
      <c r="T183" s="335">
        <v>7</v>
      </c>
    </row>
    <row r="184" spans="1:20" s="358" customFormat="1" ht="17.25" customHeight="1">
      <c r="A184" s="428"/>
      <c r="B184" s="419" t="s">
        <v>892</v>
      </c>
      <c r="C184" s="310" t="s">
        <v>94</v>
      </c>
      <c r="D184" s="334">
        <v>7</v>
      </c>
      <c r="E184" s="334">
        <v>7</v>
      </c>
      <c r="F184" s="334">
        <v>7</v>
      </c>
      <c r="G184" s="334">
        <v>7</v>
      </c>
      <c r="H184" s="334">
        <v>7</v>
      </c>
      <c r="I184" s="516">
        <v>7</v>
      </c>
      <c r="J184" s="334">
        <v>7</v>
      </c>
      <c r="K184" s="335">
        <v>7</v>
      </c>
      <c r="L184" s="335">
        <v>7</v>
      </c>
      <c r="M184" s="335">
        <v>7</v>
      </c>
      <c r="N184" s="335">
        <v>7</v>
      </c>
      <c r="O184" s="335">
        <v>7</v>
      </c>
      <c r="P184" s="335">
        <v>7</v>
      </c>
      <c r="Q184" s="335">
        <v>7</v>
      </c>
      <c r="R184" s="335">
        <v>7</v>
      </c>
      <c r="S184" s="335">
        <v>7</v>
      </c>
      <c r="T184" s="335">
        <v>7</v>
      </c>
    </row>
    <row r="185" spans="1:20" s="358" customFormat="1" ht="17.25" customHeight="1">
      <c r="A185" s="428"/>
      <c r="B185" s="419" t="s">
        <v>893</v>
      </c>
      <c r="C185" s="310" t="s">
        <v>94</v>
      </c>
      <c r="D185" s="334">
        <v>13</v>
      </c>
      <c r="E185" s="334">
        <v>13</v>
      </c>
      <c r="F185" s="334">
        <v>13</v>
      </c>
      <c r="G185" s="334">
        <v>12</v>
      </c>
      <c r="H185" s="334">
        <v>13</v>
      </c>
      <c r="I185" s="516">
        <v>13</v>
      </c>
      <c r="J185" s="334">
        <v>13</v>
      </c>
      <c r="K185" s="335">
        <v>13</v>
      </c>
      <c r="L185" s="335">
        <v>13</v>
      </c>
      <c r="M185" s="335">
        <v>13</v>
      </c>
      <c r="N185" s="335">
        <v>13</v>
      </c>
      <c r="O185" s="335">
        <v>13</v>
      </c>
      <c r="P185" s="335">
        <v>13</v>
      </c>
      <c r="Q185" s="335">
        <v>13</v>
      </c>
      <c r="R185" s="335">
        <v>13</v>
      </c>
      <c r="S185" s="335">
        <v>13</v>
      </c>
      <c r="T185" s="335">
        <v>13</v>
      </c>
    </row>
    <row r="186" spans="1:20" s="358" customFormat="1" ht="17.25" customHeight="1">
      <c r="A186" s="428"/>
      <c r="B186" s="419" t="s">
        <v>894</v>
      </c>
      <c r="C186" s="310" t="s">
        <v>94</v>
      </c>
      <c r="D186" s="334">
        <v>7</v>
      </c>
      <c r="E186" s="334">
        <v>7</v>
      </c>
      <c r="F186" s="334">
        <v>7</v>
      </c>
      <c r="G186" s="334">
        <v>7</v>
      </c>
      <c r="H186" s="334">
        <v>8</v>
      </c>
      <c r="I186" s="516">
        <v>8</v>
      </c>
      <c r="J186" s="334">
        <v>8</v>
      </c>
      <c r="K186" s="335">
        <v>8</v>
      </c>
      <c r="L186" s="335">
        <v>8</v>
      </c>
      <c r="M186" s="335">
        <v>8</v>
      </c>
      <c r="N186" s="335">
        <v>8</v>
      </c>
      <c r="O186" s="335">
        <v>8</v>
      </c>
      <c r="P186" s="335">
        <v>8</v>
      </c>
      <c r="Q186" s="335">
        <v>8</v>
      </c>
      <c r="R186" s="335">
        <v>8</v>
      </c>
      <c r="S186" s="335">
        <v>8</v>
      </c>
      <c r="T186" s="335">
        <v>8</v>
      </c>
    </row>
    <row r="187" spans="1:20" s="358" customFormat="1" ht="17.25" customHeight="1">
      <c r="A187" s="428"/>
      <c r="B187" s="419" t="s">
        <v>895</v>
      </c>
      <c r="C187" s="310" t="s">
        <v>94</v>
      </c>
      <c r="D187" s="334">
        <v>1</v>
      </c>
      <c r="E187" s="334">
        <v>1</v>
      </c>
      <c r="F187" s="334">
        <v>1</v>
      </c>
      <c r="G187" s="334">
        <v>1</v>
      </c>
      <c r="H187" s="334">
        <v>1</v>
      </c>
      <c r="I187" s="516">
        <v>1</v>
      </c>
      <c r="J187" s="334">
        <v>1</v>
      </c>
      <c r="K187" s="335">
        <v>1</v>
      </c>
      <c r="L187" s="335">
        <v>1</v>
      </c>
      <c r="M187" s="335">
        <v>1</v>
      </c>
      <c r="N187" s="335">
        <v>1</v>
      </c>
      <c r="O187" s="335">
        <v>1</v>
      </c>
      <c r="P187" s="335">
        <v>1</v>
      </c>
      <c r="Q187" s="335">
        <v>1</v>
      </c>
      <c r="R187" s="335">
        <v>1</v>
      </c>
      <c r="S187" s="335">
        <v>1</v>
      </c>
      <c r="T187" s="335">
        <v>1</v>
      </c>
    </row>
    <row r="188" spans="1:20" s="358" customFormat="1" ht="17.25" customHeight="1">
      <c r="A188" s="428"/>
      <c r="B188" s="419" t="s">
        <v>896</v>
      </c>
      <c r="C188" s="310" t="s">
        <v>94</v>
      </c>
      <c r="D188" s="334">
        <v>2</v>
      </c>
      <c r="E188" s="334">
        <v>2</v>
      </c>
      <c r="F188" s="334">
        <v>2</v>
      </c>
      <c r="G188" s="334">
        <v>2</v>
      </c>
      <c r="H188" s="334">
        <v>2</v>
      </c>
      <c r="I188" s="516">
        <v>2</v>
      </c>
      <c r="J188" s="334">
        <v>2</v>
      </c>
      <c r="K188" s="335">
        <v>2</v>
      </c>
      <c r="L188" s="335">
        <v>2</v>
      </c>
      <c r="M188" s="335">
        <v>2</v>
      </c>
      <c r="N188" s="335">
        <v>2</v>
      </c>
      <c r="O188" s="335">
        <v>2</v>
      </c>
      <c r="P188" s="335">
        <v>2</v>
      </c>
      <c r="Q188" s="335">
        <v>2</v>
      </c>
      <c r="R188" s="335">
        <v>2</v>
      </c>
      <c r="S188" s="335">
        <v>2</v>
      </c>
      <c r="T188" s="335">
        <v>2</v>
      </c>
    </row>
    <row r="189" spans="1:20" s="358" customFormat="1" ht="17.25" customHeight="1">
      <c r="A189" s="428"/>
      <c r="B189" s="419" t="s">
        <v>897</v>
      </c>
      <c r="C189" s="310" t="s">
        <v>94</v>
      </c>
      <c r="D189" s="334">
        <v>11</v>
      </c>
      <c r="E189" s="334">
        <v>11</v>
      </c>
      <c r="F189" s="334">
        <v>11</v>
      </c>
      <c r="G189" s="334">
        <v>11</v>
      </c>
      <c r="H189" s="334">
        <v>13</v>
      </c>
      <c r="I189" s="516">
        <v>13</v>
      </c>
      <c r="J189" s="334">
        <v>14</v>
      </c>
      <c r="K189" s="335">
        <v>13</v>
      </c>
      <c r="L189" s="335">
        <v>13</v>
      </c>
      <c r="M189" s="335">
        <v>13</v>
      </c>
      <c r="N189" s="335">
        <v>13</v>
      </c>
      <c r="O189" s="335">
        <v>13</v>
      </c>
      <c r="P189" s="335">
        <v>13</v>
      </c>
      <c r="Q189" s="335">
        <v>13</v>
      </c>
      <c r="R189" s="335">
        <v>13</v>
      </c>
      <c r="S189" s="335">
        <v>13</v>
      </c>
      <c r="T189" s="335">
        <v>13</v>
      </c>
    </row>
    <row r="190" spans="1:20" s="358" customFormat="1" ht="17.25" customHeight="1">
      <c r="A190" s="428"/>
      <c r="B190" s="419" t="s">
        <v>898</v>
      </c>
      <c r="C190" s="310" t="s">
        <v>94</v>
      </c>
      <c r="D190" s="334">
        <v>1</v>
      </c>
      <c r="E190" s="334">
        <v>1</v>
      </c>
      <c r="F190" s="334">
        <v>1</v>
      </c>
      <c r="G190" s="334">
        <v>1</v>
      </c>
      <c r="H190" s="334">
        <v>1</v>
      </c>
      <c r="I190" s="516">
        <v>1</v>
      </c>
      <c r="J190" s="334">
        <v>1</v>
      </c>
      <c r="K190" s="335">
        <v>1</v>
      </c>
      <c r="L190" s="336">
        <v>3</v>
      </c>
      <c r="M190" s="336">
        <v>3</v>
      </c>
      <c r="N190" s="336">
        <v>4</v>
      </c>
      <c r="O190" s="336">
        <v>4</v>
      </c>
      <c r="P190" s="336">
        <v>4</v>
      </c>
      <c r="Q190" s="336">
        <v>4</v>
      </c>
      <c r="R190" s="336">
        <v>4</v>
      </c>
      <c r="S190" s="336">
        <v>4</v>
      </c>
      <c r="T190" s="336">
        <v>5</v>
      </c>
    </row>
    <row r="191" spans="1:20" s="358" customFormat="1" ht="17.25" customHeight="1">
      <c r="A191" s="428"/>
      <c r="B191" s="419" t="s">
        <v>899</v>
      </c>
      <c r="C191" s="310" t="s">
        <v>94</v>
      </c>
      <c r="D191" s="334">
        <v>1</v>
      </c>
      <c r="E191" s="334">
        <v>1</v>
      </c>
      <c r="F191" s="334">
        <v>1</v>
      </c>
      <c r="G191" s="334">
        <v>3</v>
      </c>
      <c r="H191" s="334">
        <v>3</v>
      </c>
      <c r="I191" s="516">
        <v>3</v>
      </c>
      <c r="J191" s="334">
        <v>3</v>
      </c>
      <c r="K191" s="335">
        <v>3</v>
      </c>
      <c r="L191" s="335">
        <v>3</v>
      </c>
      <c r="M191" s="335">
        <v>3</v>
      </c>
      <c r="N191" s="335">
        <v>4</v>
      </c>
      <c r="O191" s="335">
        <v>4</v>
      </c>
      <c r="P191" s="335">
        <v>4</v>
      </c>
      <c r="Q191" s="335">
        <v>4</v>
      </c>
      <c r="R191" s="335">
        <v>4</v>
      </c>
      <c r="S191" s="335">
        <v>4</v>
      </c>
      <c r="T191" s="335">
        <v>4</v>
      </c>
    </row>
    <row r="192" spans="1:20" s="358" customFormat="1" ht="17.25" customHeight="1">
      <c r="A192" s="428"/>
      <c r="B192" s="419" t="s">
        <v>900</v>
      </c>
      <c r="C192" s="310" t="s">
        <v>94</v>
      </c>
      <c r="D192" s="334">
        <v>1</v>
      </c>
      <c r="E192" s="334">
        <v>1</v>
      </c>
      <c r="F192" s="334">
        <v>1</v>
      </c>
      <c r="G192" s="334">
        <v>2</v>
      </c>
      <c r="H192" s="334">
        <v>2</v>
      </c>
      <c r="I192" s="516">
        <v>2</v>
      </c>
      <c r="J192" s="334">
        <v>3</v>
      </c>
      <c r="K192" s="335">
        <v>3</v>
      </c>
      <c r="L192" s="336">
        <v>5</v>
      </c>
      <c r="M192" s="336">
        <v>5</v>
      </c>
      <c r="N192" s="336">
        <v>5</v>
      </c>
      <c r="O192" s="336">
        <v>5</v>
      </c>
      <c r="P192" s="336">
        <v>5</v>
      </c>
      <c r="Q192" s="336">
        <v>6</v>
      </c>
      <c r="R192" s="336">
        <v>6</v>
      </c>
      <c r="S192" s="336">
        <v>6</v>
      </c>
      <c r="T192" s="336">
        <v>6</v>
      </c>
    </row>
    <row r="193" spans="1:20" s="358" customFormat="1" ht="17.25" customHeight="1">
      <c r="A193" s="428"/>
      <c r="B193" s="419" t="s">
        <v>901</v>
      </c>
      <c r="C193" s="310" t="s">
        <v>94</v>
      </c>
      <c r="D193" s="334">
        <v>1</v>
      </c>
      <c r="E193" s="334">
        <v>1</v>
      </c>
      <c r="F193" s="334">
        <v>1</v>
      </c>
      <c r="G193" s="334">
        <v>1</v>
      </c>
      <c r="H193" s="334">
        <v>1</v>
      </c>
      <c r="I193" s="516">
        <v>1</v>
      </c>
      <c r="J193" s="334">
        <v>1</v>
      </c>
      <c r="K193" s="335">
        <v>1</v>
      </c>
      <c r="L193" s="336">
        <v>3</v>
      </c>
      <c r="M193" s="336">
        <v>3</v>
      </c>
      <c r="N193" s="336">
        <v>4</v>
      </c>
      <c r="O193" s="336">
        <v>4</v>
      </c>
      <c r="P193" s="336">
        <v>4</v>
      </c>
      <c r="Q193" s="336">
        <v>4</v>
      </c>
      <c r="R193" s="336">
        <v>4</v>
      </c>
      <c r="S193" s="336">
        <v>4</v>
      </c>
      <c r="T193" s="336">
        <v>5</v>
      </c>
    </row>
    <row r="194" spans="1:20" s="358" customFormat="1" ht="17.25" customHeight="1">
      <c r="A194" s="428"/>
      <c r="B194" s="419" t="s">
        <v>902</v>
      </c>
      <c r="C194" s="310" t="s">
        <v>94</v>
      </c>
      <c r="D194" s="334">
        <v>8</v>
      </c>
      <c r="E194" s="334">
        <v>8</v>
      </c>
      <c r="F194" s="334">
        <v>7</v>
      </c>
      <c r="G194" s="334">
        <v>11</v>
      </c>
      <c r="H194" s="334">
        <v>12</v>
      </c>
      <c r="I194" s="516">
        <v>12</v>
      </c>
      <c r="J194" s="334">
        <v>12</v>
      </c>
      <c r="K194" s="335">
        <v>12</v>
      </c>
      <c r="L194" s="335">
        <v>12</v>
      </c>
      <c r="M194" s="335">
        <v>12</v>
      </c>
      <c r="N194" s="335">
        <v>12</v>
      </c>
      <c r="O194" s="335">
        <v>12</v>
      </c>
      <c r="P194" s="335">
        <v>12</v>
      </c>
      <c r="Q194" s="335">
        <v>12</v>
      </c>
      <c r="R194" s="335">
        <v>12</v>
      </c>
      <c r="S194" s="335">
        <v>12</v>
      </c>
      <c r="T194" s="335">
        <v>12</v>
      </c>
    </row>
    <row r="195" spans="1:20" s="358" customFormat="1" ht="17.25" customHeight="1">
      <c r="A195" s="428"/>
      <c r="B195" s="419" t="s">
        <v>903</v>
      </c>
      <c r="C195" s="310" t="s">
        <v>94</v>
      </c>
      <c r="D195" s="334">
        <v>1</v>
      </c>
      <c r="E195" s="334">
        <v>1</v>
      </c>
      <c r="F195" s="334">
        <v>1</v>
      </c>
      <c r="G195" s="334">
        <v>1</v>
      </c>
      <c r="H195" s="334">
        <v>1</v>
      </c>
      <c r="I195" s="516">
        <v>1</v>
      </c>
      <c r="J195" s="334">
        <v>1</v>
      </c>
      <c r="K195" s="335">
        <v>1</v>
      </c>
      <c r="L195" s="335">
        <v>1</v>
      </c>
      <c r="M195" s="335">
        <v>1</v>
      </c>
      <c r="N195" s="335">
        <v>1</v>
      </c>
      <c r="O195" s="335"/>
      <c r="P195" s="335"/>
      <c r="Q195" s="335"/>
      <c r="R195" s="335"/>
      <c r="S195" s="335"/>
      <c r="T195" s="335"/>
    </row>
    <row r="196" spans="1:20" s="358" customFormat="1" ht="17.25" customHeight="1">
      <c r="A196" s="428"/>
      <c r="B196" s="419" t="s">
        <v>811</v>
      </c>
      <c r="C196" s="310" t="s">
        <v>94</v>
      </c>
      <c r="D196" s="334">
        <v>2</v>
      </c>
      <c r="E196" s="334">
        <v>2</v>
      </c>
      <c r="F196" s="334">
        <v>4</v>
      </c>
      <c r="G196" s="334">
        <v>5</v>
      </c>
      <c r="H196" s="334">
        <v>5</v>
      </c>
      <c r="I196" s="516">
        <v>5</v>
      </c>
      <c r="J196" s="334">
        <v>5</v>
      </c>
      <c r="K196" s="335">
        <v>5</v>
      </c>
      <c r="L196" s="335">
        <v>5</v>
      </c>
      <c r="M196" s="335">
        <v>5</v>
      </c>
      <c r="N196" s="335">
        <v>5</v>
      </c>
      <c r="O196" s="335">
        <v>5</v>
      </c>
      <c r="P196" s="335">
        <v>5</v>
      </c>
      <c r="Q196" s="335">
        <v>5</v>
      </c>
      <c r="R196" s="335">
        <v>5</v>
      </c>
      <c r="S196" s="335">
        <v>5</v>
      </c>
      <c r="T196" s="335">
        <v>5</v>
      </c>
    </row>
    <row r="197" spans="1:20" s="358" customFormat="1" ht="17.25" customHeight="1">
      <c r="A197" s="428"/>
      <c r="B197" s="419" t="s">
        <v>812</v>
      </c>
      <c r="C197" s="310" t="s">
        <v>94</v>
      </c>
      <c r="D197" s="334">
        <v>4</v>
      </c>
      <c r="E197" s="334">
        <v>4</v>
      </c>
      <c r="F197" s="334">
        <v>4</v>
      </c>
      <c r="G197" s="334">
        <v>5</v>
      </c>
      <c r="H197" s="334">
        <v>5</v>
      </c>
      <c r="I197" s="516">
        <v>5</v>
      </c>
      <c r="J197" s="334">
        <v>4</v>
      </c>
      <c r="K197" s="335">
        <v>4</v>
      </c>
      <c r="L197" s="335">
        <v>4</v>
      </c>
      <c r="M197" s="335">
        <v>4</v>
      </c>
      <c r="N197" s="335">
        <v>4</v>
      </c>
      <c r="O197" s="335">
        <v>4</v>
      </c>
      <c r="P197" s="335">
        <v>4</v>
      </c>
      <c r="Q197" s="335">
        <v>4</v>
      </c>
      <c r="R197" s="335">
        <v>4</v>
      </c>
      <c r="S197" s="335">
        <v>4</v>
      </c>
      <c r="T197" s="335">
        <v>4</v>
      </c>
    </row>
    <row r="198" spans="1:20" s="358" customFormat="1" ht="17.25" customHeight="1">
      <c r="A198" s="428"/>
      <c r="B198" s="419" t="s">
        <v>904</v>
      </c>
      <c r="C198" s="310" t="s">
        <v>94</v>
      </c>
      <c r="D198" s="334">
        <v>1</v>
      </c>
      <c r="E198" s="334">
        <v>1</v>
      </c>
      <c r="F198" s="334">
        <v>1</v>
      </c>
      <c r="G198" s="334">
        <v>1</v>
      </c>
      <c r="H198" s="334">
        <v>1</v>
      </c>
      <c r="I198" s="516">
        <v>1</v>
      </c>
      <c r="J198" s="334">
        <v>1</v>
      </c>
      <c r="K198" s="335">
        <v>1</v>
      </c>
      <c r="L198" s="336">
        <v>3</v>
      </c>
      <c r="M198" s="336">
        <v>3</v>
      </c>
      <c r="N198" s="336">
        <v>3</v>
      </c>
      <c r="O198" s="336">
        <v>3</v>
      </c>
      <c r="P198" s="336">
        <v>3</v>
      </c>
      <c r="Q198" s="338">
        <v>4</v>
      </c>
      <c r="R198" s="338">
        <v>4</v>
      </c>
      <c r="S198" s="338">
        <v>4</v>
      </c>
      <c r="T198" s="338">
        <v>4</v>
      </c>
    </row>
    <row r="199" spans="1:20" s="358" customFormat="1" ht="17.25" customHeight="1">
      <c r="A199" s="428"/>
      <c r="B199" s="419" t="s">
        <v>905</v>
      </c>
      <c r="C199" s="310" t="s">
        <v>94</v>
      </c>
      <c r="D199" s="334">
        <v>4</v>
      </c>
      <c r="E199" s="334">
        <v>4</v>
      </c>
      <c r="F199" s="334">
        <v>4</v>
      </c>
      <c r="G199" s="334">
        <v>5</v>
      </c>
      <c r="H199" s="334">
        <v>5</v>
      </c>
      <c r="I199" s="516">
        <v>5</v>
      </c>
      <c r="J199" s="334">
        <v>4</v>
      </c>
      <c r="K199" s="335">
        <v>4</v>
      </c>
      <c r="L199" s="335">
        <v>4</v>
      </c>
      <c r="M199" s="335">
        <v>4</v>
      </c>
      <c r="N199" s="335">
        <v>4</v>
      </c>
      <c r="O199" s="336">
        <v>5</v>
      </c>
      <c r="P199" s="336">
        <v>5</v>
      </c>
      <c r="Q199" s="336">
        <v>5</v>
      </c>
      <c r="R199" s="336">
        <v>5</v>
      </c>
      <c r="S199" s="336">
        <v>5</v>
      </c>
      <c r="T199" s="336">
        <v>5</v>
      </c>
    </row>
    <row r="200" spans="1:20" s="358" customFormat="1" ht="17.25" customHeight="1">
      <c r="A200" s="428"/>
      <c r="B200" s="419" t="s">
        <v>906</v>
      </c>
      <c r="C200" s="310" t="s">
        <v>94</v>
      </c>
      <c r="D200" s="334">
        <v>11</v>
      </c>
      <c r="E200" s="334">
        <v>11</v>
      </c>
      <c r="F200" s="334">
        <v>11</v>
      </c>
      <c r="G200" s="334">
        <v>11</v>
      </c>
      <c r="H200" s="334">
        <v>11</v>
      </c>
      <c r="I200" s="516">
        <v>11</v>
      </c>
      <c r="J200" s="334">
        <v>11</v>
      </c>
      <c r="K200" s="335">
        <v>11</v>
      </c>
      <c r="L200" s="335">
        <v>11</v>
      </c>
      <c r="M200" s="335">
        <v>11</v>
      </c>
      <c r="N200" s="335">
        <v>11</v>
      </c>
      <c r="O200" s="335">
        <v>11</v>
      </c>
      <c r="P200" s="335">
        <v>11</v>
      </c>
      <c r="Q200" s="335">
        <v>11</v>
      </c>
      <c r="R200" s="335">
        <v>11</v>
      </c>
      <c r="S200" s="335">
        <v>11</v>
      </c>
      <c r="T200" s="335">
        <v>11</v>
      </c>
    </row>
    <row r="201" spans="1:20" s="358" customFormat="1" ht="17.25" customHeight="1">
      <c r="A201" s="428"/>
      <c r="B201" s="419" t="s">
        <v>907</v>
      </c>
      <c r="C201" s="310" t="s">
        <v>94</v>
      </c>
      <c r="D201" s="334">
        <v>1</v>
      </c>
      <c r="E201" s="334">
        <v>1</v>
      </c>
      <c r="F201" s="334">
        <v>1</v>
      </c>
      <c r="G201" s="334">
        <v>1</v>
      </c>
      <c r="H201" s="334">
        <v>1</v>
      </c>
      <c r="I201" s="516">
        <v>1</v>
      </c>
      <c r="J201" s="334">
        <v>1</v>
      </c>
      <c r="K201" s="335">
        <v>2</v>
      </c>
      <c r="L201" s="336">
        <v>4</v>
      </c>
      <c r="M201" s="336">
        <v>4</v>
      </c>
      <c r="N201" s="336">
        <v>4</v>
      </c>
      <c r="O201" s="336">
        <v>4</v>
      </c>
      <c r="P201" s="336">
        <v>4</v>
      </c>
      <c r="Q201" s="336">
        <v>5</v>
      </c>
      <c r="R201" s="336">
        <v>5</v>
      </c>
      <c r="S201" s="336">
        <v>6</v>
      </c>
      <c r="T201" s="336">
        <v>6</v>
      </c>
    </row>
    <row r="202" spans="1:20" s="358" customFormat="1" ht="17.25" customHeight="1">
      <c r="A202" s="428"/>
      <c r="B202" s="419" t="s">
        <v>908</v>
      </c>
      <c r="C202" s="310" t="s">
        <v>94</v>
      </c>
      <c r="D202" s="339"/>
      <c r="E202" s="339"/>
      <c r="F202" s="339"/>
      <c r="G202" s="339"/>
      <c r="H202" s="334">
        <v>1</v>
      </c>
      <c r="I202" s="516">
        <v>1</v>
      </c>
      <c r="J202" s="334">
        <v>1</v>
      </c>
      <c r="K202" s="335">
        <v>2</v>
      </c>
      <c r="L202" s="335">
        <v>2</v>
      </c>
      <c r="M202" s="335">
        <v>2</v>
      </c>
      <c r="N202" s="335">
        <v>2</v>
      </c>
      <c r="O202" s="335">
        <v>2</v>
      </c>
      <c r="P202" s="338">
        <v>2</v>
      </c>
      <c r="Q202" s="338">
        <v>3</v>
      </c>
      <c r="R202" s="338">
        <v>3</v>
      </c>
      <c r="S202" s="338">
        <v>3</v>
      </c>
      <c r="T202" s="338">
        <v>3</v>
      </c>
    </row>
    <row r="203" spans="1:20" s="358" customFormat="1" ht="17.25" customHeight="1">
      <c r="A203" s="339"/>
      <c r="B203" s="429" t="s">
        <v>842</v>
      </c>
      <c r="C203" s="310" t="s">
        <v>94</v>
      </c>
      <c r="D203" s="306">
        <v>25</v>
      </c>
      <c r="E203" s="306">
        <v>27</v>
      </c>
      <c r="F203" s="306">
        <v>25</v>
      </c>
      <c r="G203" s="350">
        <v>22</v>
      </c>
      <c r="H203" s="350">
        <v>25</v>
      </c>
      <c r="I203" s="517">
        <v>21</v>
      </c>
      <c r="J203" s="394">
        <v>25</v>
      </c>
      <c r="K203" s="391">
        <v>28</v>
      </c>
      <c r="L203" s="391">
        <v>30</v>
      </c>
      <c r="M203" s="394">
        <v>30</v>
      </c>
      <c r="N203" s="394">
        <v>30</v>
      </c>
      <c r="O203" s="424">
        <v>30</v>
      </c>
      <c r="P203" s="394">
        <v>30</v>
      </c>
      <c r="Q203" s="394">
        <v>30</v>
      </c>
      <c r="R203" s="394">
        <v>32</v>
      </c>
      <c r="S203" s="394">
        <v>32</v>
      </c>
      <c r="T203" s="394">
        <v>35</v>
      </c>
    </row>
    <row r="204" spans="1:20" s="358" customFormat="1" ht="17.25" customHeight="1">
      <c r="A204" s="339"/>
      <c r="B204" s="332" t="s">
        <v>843</v>
      </c>
      <c r="C204" s="310"/>
      <c r="D204" s="310"/>
      <c r="E204" s="310"/>
      <c r="F204" s="310"/>
      <c r="G204" s="340"/>
      <c r="H204" s="340"/>
      <c r="I204" s="508"/>
      <c r="J204" s="338"/>
      <c r="K204" s="336"/>
      <c r="L204" s="336"/>
      <c r="M204" s="338"/>
      <c r="N204" s="338"/>
      <c r="O204" s="427"/>
      <c r="P204" s="338"/>
      <c r="Q204" s="338"/>
      <c r="R204" s="338"/>
      <c r="S204" s="338"/>
      <c r="T204" s="338"/>
    </row>
    <row r="205" spans="1:20" s="358" customFormat="1" ht="17.25" customHeight="1">
      <c r="A205" s="339"/>
      <c r="B205" s="332" t="s">
        <v>844</v>
      </c>
      <c r="C205" s="310" t="s">
        <v>94</v>
      </c>
      <c r="D205" s="310">
        <v>4</v>
      </c>
      <c r="E205" s="310">
        <v>4</v>
      </c>
      <c r="F205" s="310">
        <v>4</v>
      </c>
      <c r="G205" s="340">
        <v>3</v>
      </c>
      <c r="H205" s="340">
        <v>4</v>
      </c>
      <c r="I205" s="508">
        <v>4</v>
      </c>
      <c r="J205" s="338">
        <v>4</v>
      </c>
      <c r="K205" s="338">
        <v>4</v>
      </c>
      <c r="L205" s="338">
        <v>4</v>
      </c>
      <c r="M205" s="338">
        <v>4</v>
      </c>
      <c r="N205" s="338">
        <v>4</v>
      </c>
      <c r="O205" s="338">
        <v>4</v>
      </c>
      <c r="P205" s="338">
        <v>4</v>
      </c>
      <c r="Q205" s="338">
        <v>4</v>
      </c>
      <c r="R205" s="338">
        <v>4</v>
      </c>
      <c r="S205" s="338">
        <v>4</v>
      </c>
      <c r="T205" s="338">
        <v>4</v>
      </c>
    </row>
    <row r="206" spans="1:20" s="358" customFormat="1" ht="17.25" customHeight="1">
      <c r="A206" s="339"/>
      <c r="B206" s="349" t="s">
        <v>138</v>
      </c>
      <c r="C206" s="310" t="s">
        <v>94</v>
      </c>
      <c r="D206" s="310">
        <v>2</v>
      </c>
      <c r="E206" s="310">
        <v>2</v>
      </c>
      <c r="F206" s="310">
        <v>2</v>
      </c>
      <c r="G206" s="340">
        <v>2</v>
      </c>
      <c r="H206" s="340">
        <v>3</v>
      </c>
      <c r="I206" s="508">
        <v>3</v>
      </c>
      <c r="J206" s="338">
        <v>3</v>
      </c>
      <c r="K206" s="336">
        <v>2</v>
      </c>
      <c r="L206" s="336">
        <v>2</v>
      </c>
      <c r="M206" s="336">
        <v>2</v>
      </c>
      <c r="N206" s="336">
        <v>2</v>
      </c>
      <c r="O206" s="336">
        <v>2</v>
      </c>
      <c r="P206" s="336">
        <v>2</v>
      </c>
      <c r="Q206" s="336">
        <v>2</v>
      </c>
      <c r="R206" s="336">
        <v>2</v>
      </c>
      <c r="S206" s="336">
        <v>2</v>
      </c>
      <c r="T206" s="336">
        <v>2</v>
      </c>
    </row>
    <row r="207" spans="1:20" s="358" customFormat="1" ht="17.25" customHeight="1">
      <c r="A207" s="339"/>
      <c r="B207" s="349" t="s">
        <v>139</v>
      </c>
      <c r="C207" s="310" t="s">
        <v>94</v>
      </c>
      <c r="D207" s="338">
        <v>2</v>
      </c>
      <c r="E207" s="338">
        <v>2</v>
      </c>
      <c r="F207" s="338">
        <v>2</v>
      </c>
      <c r="G207" s="338">
        <v>2</v>
      </c>
      <c r="H207" s="338">
        <v>2</v>
      </c>
      <c r="I207" s="518">
        <v>2</v>
      </c>
      <c r="J207" s="338">
        <v>2</v>
      </c>
      <c r="K207" s="336">
        <v>4</v>
      </c>
      <c r="L207" s="336">
        <v>4</v>
      </c>
      <c r="M207" s="336">
        <v>4</v>
      </c>
      <c r="N207" s="336">
        <v>4</v>
      </c>
      <c r="O207" s="336">
        <v>4</v>
      </c>
      <c r="P207" s="336">
        <v>4</v>
      </c>
      <c r="Q207" s="336">
        <v>4</v>
      </c>
      <c r="R207" s="338">
        <v>5</v>
      </c>
      <c r="S207" s="338">
        <v>5</v>
      </c>
      <c r="T207" s="338">
        <v>5</v>
      </c>
    </row>
    <row r="208" spans="1:20" s="358" customFormat="1" ht="17.25" customHeight="1">
      <c r="A208" s="339"/>
      <c r="B208" s="349" t="s">
        <v>140</v>
      </c>
      <c r="C208" s="310" t="s">
        <v>94</v>
      </c>
      <c r="D208" s="310">
        <v>3</v>
      </c>
      <c r="E208" s="310">
        <v>3</v>
      </c>
      <c r="F208" s="310">
        <v>3</v>
      </c>
      <c r="G208" s="310">
        <v>3</v>
      </c>
      <c r="H208" s="340">
        <v>4</v>
      </c>
      <c r="I208" s="508">
        <v>4</v>
      </c>
      <c r="J208" s="338">
        <v>4</v>
      </c>
      <c r="K208" s="336">
        <v>5</v>
      </c>
      <c r="L208" s="336">
        <v>5</v>
      </c>
      <c r="M208" s="336">
        <v>5</v>
      </c>
      <c r="N208" s="336">
        <v>5</v>
      </c>
      <c r="O208" s="336">
        <v>5</v>
      </c>
      <c r="P208" s="336">
        <v>5</v>
      </c>
      <c r="Q208" s="336">
        <v>5</v>
      </c>
      <c r="R208" s="336">
        <v>5</v>
      </c>
      <c r="S208" s="336">
        <v>5</v>
      </c>
      <c r="T208" s="336">
        <v>5</v>
      </c>
    </row>
    <row r="209" spans="1:20" s="358" customFormat="1" ht="17.25" customHeight="1">
      <c r="A209" s="339"/>
      <c r="B209" s="349" t="s">
        <v>141</v>
      </c>
      <c r="C209" s="310" t="s">
        <v>94</v>
      </c>
      <c r="D209" s="310">
        <v>6</v>
      </c>
      <c r="E209" s="310">
        <v>6</v>
      </c>
      <c r="F209" s="310">
        <v>6</v>
      </c>
      <c r="G209" s="310">
        <v>6</v>
      </c>
      <c r="H209" s="310">
        <v>6</v>
      </c>
      <c r="I209" s="508">
        <v>2</v>
      </c>
      <c r="J209" s="338">
        <v>4</v>
      </c>
      <c r="K209" s="338">
        <v>4</v>
      </c>
      <c r="L209" s="338">
        <v>4</v>
      </c>
      <c r="M209" s="338">
        <v>4</v>
      </c>
      <c r="N209" s="338">
        <v>4</v>
      </c>
      <c r="O209" s="336">
        <v>5</v>
      </c>
      <c r="P209" s="336">
        <v>5</v>
      </c>
      <c r="Q209" s="336">
        <v>5</v>
      </c>
      <c r="R209" s="336">
        <v>5</v>
      </c>
      <c r="S209" s="336">
        <v>5</v>
      </c>
      <c r="T209" s="336">
        <v>5</v>
      </c>
    </row>
    <row r="210" spans="1:20" s="358" customFormat="1" ht="17.25" customHeight="1">
      <c r="A210" s="339"/>
      <c r="B210" s="349" t="s">
        <v>142</v>
      </c>
      <c r="C210" s="310" t="s">
        <v>94</v>
      </c>
      <c r="D210" s="310">
        <v>5</v>
      </c>
      <c r="E210" s="310">
        <v>4</v>
      </c>
      <c r="F210" s="310">
        <v>4</v>
      </c>
      <c r="G210" s="310">
        <v>4</v>
      </c>
      <c r="H210" s="310">
        <v>4</v>
      </c>
      <c r="I210" s="508">
        <v>3</v>
      </c>
      <c r="J210" s="338">
        <v>5</v>
      </c>
      <c r="K210" s="338">
        <v>5</v>
      </c>
      <c r="L210" s="338">
        <v>5</v>
      </c>
      <c r="M210" s="338">
        <v>5</v>
      </c>
      <c r="N210" s="338">
        <v>5</v>
      </c>
      <c r="O210" s="338">
        <v>5</v>
      </c>
      <c r="P210" s="338">
        <v>5</v>
      </c>
      <c r="Q210" s="338">
        <v>5</v>
      </c>
      <c r="R210" s="338">
        <v>5</v>
      </c>
      <c r="S210" s="338">
        <v>5</v>
      </c>
      <c r="T210" s="338">
        <v>5</v>
      </c>
    </row>
    <row r="211" spans="1:20" s="358" customFormat="1" ht="17.25" customHeight="1">
      <c r="A211" s="339"/>
      <c r="B211" s="349" t="s">
        <v>143</v>
      </c>
      <c r="C211" s="310" t="s">
        <v>94</v>
      </c>
      <c r="D211" s="338">
        <f>D203-D205-D206-D207-D208-D209-D210</f>
        <v>3</v>
      </c>
      <c r="E211" s="338">
        <f t="shared" ref="E211:T211" si="30">E203-E205-E206-E207-E208-E209-E210</f>
        <v>6</v>
      </c>
      <c r="F211" s="338">
        <f t="shared" si="30"/>
        <v>4</v>
      </c>
      <c r="G211" s="338">
        <f t="shared" si="30"/>
        <v>2</v>
      </c>
      <c r="H211" s="338">
        <f t="shared" si="30"/>
        <v>2</v>
      </c>
      <c r="I211" s="518">
        <f t="shared" si="30"/>
        <v>3</v>
      </c>
      <c r="J211" s="338">
        <f t="shared" si="30"/>
        <v>3</v>
      </c>
      <c r="K211" s="338">
        <f t="shared" si="30"/>
        <v>4</v>
      </c>
      <c r="L211" s="430">
        <f t="shared" si="30"/>
        <v>6</v>
      </c>
      <c r="M211" s="430">
        <f t="shared" si="30"/>
        <v>6</v>
      </c>
      <c r="N211" s="430">
        <f t="shared" si="30"/>
        <v>6</v>
      </c>
      <c r="O211" s="430">
        <f t="shared" si="30"/>
        <v>5</v>
      </c>
      <c r="P211" s="430">
        <f t="shared" si="30"/>
        <v>5</v>
      </c>
      <c r="Q211" s="430">
        <f t="shared" si="30"/>
        <v>5</v>
      </c>
      <c r="R211" s="430">
        <f t="shared" si="30"/>
        <v>6</v>
      </c>
      <c r="S211" s="430">
        <f t="shared" si="30"/>
        <v>6</v>
      </c>
      <c r="T211" s="430">
        <f t="shared" si="30"/>
        <v>9</v>
      </c>
    </row>
    <row r="212" spans="1:20" s="358" customFormat="1" ht="17.25" customHeight="1">
      <c r="A212" s="323">
        <v>2</v>
      </c>
      <c r="B212" s="307" t="s">
        <v>909</v>
      </c>
      <c r="C212" s="310" t="s">
        <v>94</v>
      </c>
      <c r="D212" s="394">
        <v>137</v>
      </c>
      <c r="E212" s="394">
        <v>143</v>
      </c>
      <c r="F212" s="394">
        <v>153</v>
      </c>
      <c r="G212" s="394">
        <v>158</v>
      </c>
      <c r="H212" s="394">
        <v>160</v>
      </c>
      <c r="I212" s="519">
        <v>152</v>
      </c>
      <c r="J212" s="394">
        <v>151</v>
      </c>
      <c r="K212" s="394">
        <v>150</v>
      </c>
      <c r="L212" s="392">
        <v>150</v>
      </c>
      <c r="M212" s="392">
        <v>150</v>
      </c>
      <c r="N212" s="392">
        <v>160</v>
      </c>
      <c r="O212" s="392">
        <v>160</v>
      </c>
      <c r="P212" s="392">
        <v>170</v>
      </c>
      <c r="Q212" s="392">
        <v>185</v>
      </c>
      <c r="R212" s="392">
        <v>210</v>
      </c>
      <c r="S212" s="392">
        <v>230</v>
      </c>
      <c r="T212" s="392">
        <v>300</v>
      </c>
    </row>
    <row r="213" spans="1:20" s="358" customFormat="1" ht="17.25" customHeight="1">
      <c r="A213" s="323"/>
      <c r="B213" s="326" t="s">
        <v>758</v>
      </c>
      <c r="C213" s="310" t="s">
        <v>94</v>
      </c>
      <c r="D213" s="394">
        <v>31</v>
      </c>
      <c r="E213" s="394">
        <v>32</v>
      </c>
      <c r="F213" s="394">
        <v>32</v>
      </c>
      <c r="G213" s="394">
        <v>38</v>
      </c>
      <c r="H213" s="394">
        <v>38</v>
      </c>
      <c r="I213" s="519">
        <v>40</v>
      </c>
      <c r="J213" s="394">
        <v>39</v>
      </c>
      <c r="K213" s="394">
        <v>39</v>
      </c>
      <c r="L213" s="392">
        <v>39</v>
      </c>
      <c r="M213" s="392">
        <v>39</v>
      </c>
      <c r="N213" s="392">
        <v>40</v>
      </c>
      <c r="O213" s="392">
        <v>40</v>
      </c>
      <c r="P213" s="392">
        <v>45</v>
      </c>
      <c r="Q213" s="392">
        <v>45</v>
      </c>
      <c r="R213" s="392">
        <v>50</v>
      </c>
      <c r="S213" s="392">
        <v>60</v>
      </c>
      <c r="T213" s="392">
        <v>80</v>
      </c>
    </row>
    <row r="214" spans="1:20" s="358" customFormat="1" ht="17.25" customHeight="1">
      <c r="A214" s="323"/>
      <c r="B214" s="308" t="s">
        <v>786</v>
      </c>
      <c r="C214" s="310" t="s">
        <v>94</v>
      </c>
      <c r="D214" s="338"/>
      <c r="E214" s="338"/>
      <c r="F214" s="338"/>
      <c r="G214" s="338"/>
      <c r="H214" s="338"/>
      <c r="I214" s="518"/>
      <c r="J214" s="338"/>
      <c r="K214" s="338"/>
      <c r="L214" s="430"/>
      <c r="M214" s="430"/>
      <c r="N214" s="430"/>
      <c r="O214" s="430"/>
      <c r="P214" s="430"/>
      <c r="Q214" s="430"/>
      <c r="R214" s="430"/>
      <c r="S214" s="430"/>
      <c r="T214" s="430"/>
    </row>
    <row r="215" spans="1:20" s="358" customFormat="1" ht="17.25" customHeight="1">
      <c r="A215" s="323"/>
      <c r="B215" s="328" t="s">
        <v>787</v>
      </c>
      <c r="C215" s="310" t="s">
        <v>94</v>
      </c>
      <c r="D215" s="338"/>
      <c r="E215" s="338"/>
      <c r="F215" s="338"/>
      <c r="G215" s="338">
        <v>1</v>
      </c>
      <c r="H215" s="338">
        <v>1</v>
      </c>
      <c r="I215" s="518">
        <v>1</v>
      </c>
      <c r="J215" s="338">
        <v>3</v>
      </c>
      <c r="K215" s="338">
        <v>5</v>
      </c>
      <c r="L215" s="430">
        <v>6</v>
      </c>
      <c r="M215" s="430">
        <v>6</v>
      </c>
      <c r="N215" s="430">
        <v>8</v>
      </c>
      <c r="O215" s="430">
        <v>9</v>
      </c>
      <c r="P215" s="430">
        <v>9</v>
      </c>
      <c r="Q215" s="430">
        <v>9</v>
      </c>
      <c r="R215" s="430">
        <v>9</v>
      </c>
      <c r="S215" s="430">
        <v>10</v>
      </c>
      <c r="T215" s="430">
        <v>15</v>
      </c>
    </row>
    <row r="216" spans="1:20" s="358" customFormat="1" ht="17.25" customHeight="1">
      <c r="A216" s="323"/>
      <c r="B216" s="308" t="s">
        <v>788</v>
      </c>
      <c r="C216" s="310" t="s">
        <v>94</v>
      </c>
      <c r="D216" s="338">
        <v>12</v>
      </c>
      <c r="E216" s="338">
        <v>12</v>
      </c>
      <c r="F216" s="338">
        <v>12</v>
      </c>
      <c r="G216" s="338">
        <v>25</v>
      </c>
      <c r="H216" s="338">
        <v>30</v>
      </c>
      <c r="I216" s="518">
        <v>33</v>
      </c>
      <c r="J216" s="338">
        <v>31</v>
      </c>
      <c r="K216" s="338">
        <v>30</v>
      </c>
      <c r="L216" s="430">
        <v>29</v>
      </c>
      <c r="M216" s="430">
        <v>29</v>
      </c>
      <c r="N216" s="430">
        <v>31</v>
      </c>
      <c r="O216" s="430">
        <v>30</v>
      </c>
      <c r="P216" s="430">
        <v>35</v>
      </c>
      <c r="Q216" s="430">
        <v>35</v>
      </c>
      <c r="R216" s="430">
        <v>40</v>
      </c>
      <c r="S216" s="430">
        <v>49</v>
      </c>
      <c r="T216" s="430">
        <v>65</v>
      </c>
    </row>
    <row r="217" spans="1:20" s="358" customFormat="1" ht="17.25" customHeight="1">
      <c r="A217" s="323"/>
      <c r="B217" s="328" t="s">
        <v>135</v>
      </c>
      <c r="C217" s="310" t="s">
        <v>94</v>
      </c>
      <c r="D217" s="338">
        <v>19</v>
      </c>
      <c r="E217" s="338">
        <v>20</v>
      </c>
      <c r="F217" s="338">
        <v>20</v>
      </c>
      <c r="G217" s="338">
        <v>12</v>
      </c>
      <c r="H217" s="338">
        <v>7</v>
      </c>
      <c r="I217" s="518">
        <v>6</v>
      </c>
      <c r="J217" s="338">
        <v>5</v>
      </c>
      <c r="K217" s="338">
        <v>4</v>
      </c>
      <c r="L217" s="430">
        <v>4</v>
      </c>
      <c r="M217" s="430">
        <v>4</v>
      </c>
      <c r="N217" s="430">
        <v>1</v>
      </c>
      <c r="O217" s="430">
        <v>1</v>
      </c>
      <c r="P217" s="430">
        <v>1</v>
      </c>
      <c r="Q217" s="430">
        <v>1</v>
      </c>
      <c r="R217" s="430">
        <v>1</v>
      </c>
      <c r="S217" s="430">
        <v>1</v>
      </c>
      <c r="T217" s="430"/>
    </row>
    <row r="218" spans="1:20" s="358" customFormat="1" ht="17.25" customHeight="1">
      <c r="A218" s="428"/>
      <c r="B218" s="330" t="s">
        <v>790</v>
      </c>
      <c r="C218" s="310" t="s">
        <v>94</v>
      </c>
      <c r="D218" s="360">
        <v>67</v>
      </c>
      <c r="E218" s="360">
        <v>72</v>
      </c>
      <c r="F218" s="360">
        <v>79</v>
      </c>
      <c r="G218" s="360">
        <v>76</v>
      </c>
      <c r="H218" s="360">
        <v>81</v>
      </c>
      <c r="I218" s="501">
        <v>78</v>
      </c>
      <c r="J218" s="407">
        <v>75</v>
      </c>
      <c r="K218" s="407">
        <v>75</v>
      </c>
      <c r="L218" s="407">
        <v>75</v>
      </c>
      <c r="M218" s="407">
        <v>75</v>
      </c>
      <c r="N218" s="407">
        <v>80</v>
      </c>
      <c r="O218" s="431">
        <v>80</v>
      </c>
      <c r="P218" s="432">
        <v>85</v>
      </c>
      <c r="Q218" s="432">
        <v>96</v>
      </c>
      <c r="R218" s="432">
        <v>115</v>
      </c>
      <c r="S218" s="432">
        <v>120</v>
      </c>
      <c r="T218" s="432">
        <v>170</v>
      </c>
    </row>
    <row r="219" spans="1:20" s="358" customFormat="1" ht="17.25" customHeight="1">
      <c r="A219" s="428"/>
      <c r="B219" s="329" t="s">
        <v>217</v>
      </c>
      <c r="C219" s="310" t="s">
        <v>94</v>
      </c>
      <c r="D219" s="310">
        <v>67</v>
      </c>
      <c r="E219" s="310">
        <v>72</v>
      </c>
      <c r="F219" s="310">
        <v>79</v>
      </c>
      <c r="G219" s="340">
        <v>76</v>
      </c>
      <c r="H219" s="340">
        <v>81</v>
      </c>
      <c r="I219" s="508">
        <v>78</v>
      </c>
      <c r="J219" s="341">
        <v>75</v>
      </c>
      <c r="K219" s="342">
        <v>75</v>
      </c>
      <c r="L219" s="342">
        <v>75</v>
      </c>
      <c r="M219" s="341">
        <v>75</v>
      </c>
      <c r="N219" s="341">
        <v>80</v>
      </c>
      <c r="O219" s="343">
        <v>80</v>
      </c>
      <c r="P219" s="341">
        <v>85</v>
      </c>
      <c r="Q219" s="341">
        <v>96</v>
      </c>
      <c r="R219" s="341">
        <v>115</v>
      </c>
      <c r="S219" s="341">
        <v>120</v>
      </c>
      <c r="T219" s="341">
        <v>170</v>
      </c>
    </row>
    <row r="220" spans="1:20" s="358" customFormat="1" ht="17.25" customHeight="1">
      <c r="A220" s="428"/>
      <c r="B220" s="328" t="s">
        <v>787</v>
      </c>
      <c r="C220" s="310" t="s">
        <v>94</v>
      </c>
      <c r="D220" s="311"/>
      <c r="E220" s="311"/>
      <c r="F220" s="311"/>
      <c r="G220" s="340"/>
      <c r="H220" s="340"/>
      <c r="I220" s="508"/>
      <c r="J220" s="341"/>
      <c r="K220" s="342">
        <v>1</v>
      </c>
      <c r="L220" s="342">
        <v>1</v>
      </c>
      <c r="M220" s="341">
        <v>1</v>
      </c>
      <c r="N220" s="341">
        <v>1</v>
      </c>
      <c r="O220" s="343">
        <v>1</v>
      </c>
      <c r="P220" s="341">
        <v>1</v>
      </c>
      <c r="Q220" s="341">
        <v>2</v>
      </c>
      <c r="R220" s="341">
        <v>4</v>
      </c>
      <c r="S220" s="341">
        <v>5</v>
      </c>
      <c r="T220" s="341">
        <v>10</v>
      </c>
    </row>
    <row r="221" spans="1:20" s="358" customFormat="1" ht="17.25" customHeight="1">
      <c r="A221" s="428"/>
      <c r="B221" s="308" t="s">
        <v>788</v>
      </c>
      <c r="C221" s="310" t="s">
        <v>94</v>
      </c>
      <c r="D221" s="311">
        <v>7</v>
      </c>
      <c r="E221" s="311">
        <v>8</v>
      </c>
      <c r="F221" s="311">
        <v>12</v>
      </c>
      <c r="G221" s="340">
        <v>13</v>
      </c>
      <c r="H221" s="340">
        <v>29</v>
      </c>
      <c r="I221" s="508">
        <v>29</v>
      </c>
      <c r="J221" s="341">
        <v>27</v>
      </c>
      <c r="K221" s="342">
        <v>46</v>
      </c>
      <c r="L221" s="342">
        <v>52</v>
      </c>
      <c r="M221" s="341">
        <v>68</v>
      </c>
      <c r="N221" s="341">
        <v>79</v>
      </c>
      <c r="O221" s="343">
        <v>79</v>
      </c>
      <c r="P221" s="341">
        <v>84</v>
      </c>
      <c r="Q221" s="341">
        <v>94</v>
      </c>
      <c r="R221" s="341">
        <v>111</v>
      </c>
      <c r="S221" s="341">
        <v>115</v>
      </c>
      <c r="T221" s="341">
        <v>160</v>
      </c>
    </row>
    <row r="222" spans="1:20" s="358" customFormat="1" ht="17.25" customHeight="1">
      <c r="A222" s="428"/>
      <c r="B222" s="328" t="s">
        <v>135</v>
      </c>
      <c r="C222" s="310" t="s">
        <v>94</v>
      </c>
      <c r="D222" s="311">
        <v>58</v>
      </c>
      <c r="E222" s="311">
        <v>62</v>
      </c>
      <c r="F222" s="311">
        <v>65</v>
      </c>
      <c r="G222" s="340">
        <v>62</v>
      </c>
      <c r="H222" s="340">
        <v>51</v>
      </c>
      <c r="I222" s="508">
        <v>49</v>
      </c>
      <c r="J222" s="341">
        <v>48</v>
      </c>
      <c r="K222" s="342">
        <v>28</v>
      </c>
      <c r="L222" s="342">
        <v>22</v>
      </c>
      <c r="M222" s="341">
        <v>6</v>
      </c>
      <c r="N222" s="341"/>
      <c r="O222" s="343"/>
      <c r="P222" s="341"/>
      <c r="Q222" s="341"/>
      <c r="R222" s="341"/>
      <c r="S222" s="341"/>
      <c r="T222" s="341"/>
    </row>
    <row r="223" spans="1:20" s="358" customFormat="1" ht="17.25" customHeight="1">
      <c r="A223" s="428"/>
      <c r="B223" s="328" t="s">
        <v>136</v>
      </c>
      <c r="C223" s="310" t="s">
        <v>94</v>
      </c>
      <c r="D223" s="311">
        <v>2</v>
      </c>
      <c r="E223" s="311">
        <v>2</v>
      </c>
      <c r="F223" s="311">
        <v>2</v>
      </c>
      <c r="G223" s="340">
        <v>1</v>
      </c>
      <c r="H223" s="340">
        <v>1</v>
      </c>
      <c r="I223" s="508"/>
      <c r="J223" s="341"/>
      <c r="K223" s="342"/>
      <c r="L223" s="342"/>
      <c r="M223" s="341"/>
      <c r="N223" s="341"/>
      <c r="O223" s="343"/>
      <c r="P223" s="341"/>
      <c r="Q223" s="341"/>
      <c r="R223" s="341"/>
      <c r="S223" s="341"/>
      <c r="T223" s="341"/>
    </row>
    <row r="224" spans="1:20" s="358" customFormat="1" ht="17.25" customHeight="1">
      <c r="A224" s="428"/>
      <c r="B224" s="328" t="s">
        <v>883</v>
      </c>
      <c r="C224" s="310" t="s">
        <v>94</v>
      </c>
      <c r="D224" s="311"/>
      <c r="E224" s="311"/>
      <c r="F224" s="311"/>
      <c r="G224" s="340"/>
      <c r="H224" s="340"/>
      <c r="I224" s="508"/>
      <c r="J224" s="341"/>
      <c r="K224" s="342"/>
      <c r="L224" s="342"/>
      <c r="M224" s="341"/>
      <c r="N224" s="341"/>
      <c r="O224" s="343"/>
      <c r="P224" s="341"/>
      <c r="Q224" s="341"/>
      <c r="R224" s="341"/>
      <c r="S224" s="341"/>
      <c r="T224" s="341"/>
    </row>
    <row r="225" spans="1:20" s="358" customFormat="1" ht="17.25" customHeight="1">
      <c r="A225" s="428"/>
      <c r="B225" s="331" t="s">
        <v>791</v>
      </c>
      <c r="C225" s="310" t="s">
        <v>94</v>
      </c>
      <c r="D225" s="360">
        <v>94</v>
      </c>
      <c r="E225" s="360">
        <v>100</v>
      </c>
      <c r="F225" s="360">
        <v>106</v>
      </c>
      <c r="G225" s="350">
        <v>113</v>
      </c>
      <c r="H225" s="350">
        <v>115</v>
      </c>
      <c r="I225" s="517">
        <v>112</v>
      </c>
      <c r="J225" s="432">
        <v>110</v>
      </c>
      <c r="K225" s="407">
        <v>110</v>
      </c>
      <c r="L225" s="407">
        <v>110</v>
      </c>
      <c r="M225" s="432">
        <v>110</v>
      </c>
      <c r="N225" s="432">
        <v>120</v>
      </c>
      <c r="O225" s="431">
        <v>120</v>
      </c>
      <c r="P225" s="432">
        <v>130</v>
      </c>
      <c r="Q225" s="432">
        <v>145</v>
      </c>
      <c r="R225" s="432">
        <v>170</v>
      </c>
      <c r="S225" s="432">
        <v>190</v>
      </c>
      <c r="T225" s="432">
        <v>260</v>
      </c>
    </row>
    <row r="226" spans="1:20" s="358" customFormat="1" ht="17.25" customHeight="1">
      <c r="A226" s="428"/>
      <c r="B226" s="332" t="s">
        <v>910</v>
      </c>
      <c r="C226" s="310"/>
      <c r="D226" s="311"/>
      <c r="E226" s="311"/>
      <c r="F226" s="311"/>
      <c r="G226" s="340"/>
      <c r="H226" s="340"/>
      <c r="I226" s="508"/>
      <c r="J226" s="341"/>
      <c r="K226" s="342"/>
      <c r="L226" s="342"/>
      <c r="M226" s="341"/>
      <c r="N226" s="341"/>
      <c r="O226" s="343"/>
      <c r="P226" s="341"/>
      <c r="Q226" s="341"/>
      <c r="R226" s="341"/>
      <c r="S226" s="341"/>
      <c r="T226" s="341"/>
    </row>
    <row r="227" spans="1:20" s="358" customFormat="1" ht="17.25" customHeight="1">
      <c r="A227" s="428"/>
      <c r="B227" s="332" t="s">
        <v>818</v>
      </c>
      <c r="C227" s="310" t="s">
        <v>94</v>
      </c>
      <c r="D227" s="311">
        <v>4</v>
      </c>
      <c r="E227" s="311">
        <v>4</v>
      </c>
      <c r="F227" s="311">
        <v>3</v>
      </c>
      <c r="G227" s="340">
        <v>3</v>
      </c>
      <c r="H227" s="340">
        <v>5</v>
      </c>
      <c r="I227" s="508">
        <v>5</v>
      </c>
      <c r="J227" s="341">
        <v>5</v>
      </c>
      <c r="K227" s="342">
        <v>5</v>
      </c>
      <c r="L227" s="342">
        <v>5</v>
      </c>
      <c r="M227" s="341">
        <v>5</v>
      </c>
      <c r="N227" s="341">
        <v>5</v>
      </c>
      <c r="O227" s="343">
        <v>5</v>
      </c>
      <c r="P227" s="341">
        <v>7</v>
      </c>
      <c r="Q227" s="341">
        <v>10</v>
      </c>
      <c r="R227" s="341">
        <v>10</v>
      </c>
      <c r="S227" s="341">
        <v>10</v>
      </c>
      <c r="T227" s="341">
        <v>17</v>
      </c>
    </row>
    <row r="228" spans="1:20" s="358" customFormat="1" ht="17.25" customHeight="1">
      <c r="A228" s="428"/>
      <c r="B228" s="332" t="s">
        <v>819</v>
      </c>
      <c r="C228" s="310" t="s">
        <v>94</v>
      </c>
      <c r="D228" s="311">
        <v>12</v>
      </c>
      <c r="E228" s="311">
        <v>13</v>
      </c>
      <c r="F228" s="311">
        <v>14</v>
      </c>
      <c r="G228" s="340">
        <v>15</v>
      </c>
      <c r="H228" s="340">
        <v>14</v>
      </c>
      <c r="I228" s="508">
        <v>15</v>
      </c>
      <c r="J228" s="341">
        <v>14</v>
      </c>
      <c r="K228" s="342">
        <v>14</v>
      </c>
      <c r="L228" s="342">
        <v>14</v>
      </c>
      <c r="M228" s="341">
        <v>14</v>
      </c>
      <c r="N228" s="341">
        <v>14</v>
      </c>
      <c r="O228" s="343">
        <v>14</v>
      </c>
      <c r="P228" s="341">
        <v>14</v>
      </c>
      <c r="Q228" s="341">
        <v>16</v>
      </c>
      <c r="R228" s="341">
        <v>16</v>
      </c>
      <c r="S228" s="341">
        <v>16</v>
      </c>
      <c r="T228" s="341">
        <v>18</v>
      </c>
    </row>
    <row r="229" spans="1:20" s="358" customFormat="1" ht="17.25" customHeight="1">
      <c r="A229" s="428"/>
      <c r="B229" s="332" t="s">
        <v>820</v>
      </c>
      <c r="C229" s="310" t="s">
        <v>94</v>
      </c>
      <c r="D229" s="311">
        <v>1</v>
      </c>
      <c r="E229" s="311">
        <v>1</v>
      </c>
      <c r="F229" s="311">
        <v>2</v>
      </c>
      <c r="G229" s="340">
        <v>2</v>
      </c>
      <c r="H229" s="340">
        <v>4</v>
      </c>
      <c r="I229" s="508">
        <v>4</v>
      </c>
      <c r="J229" s="341">
        <v>4</v>
      </c>
      <c r="K229" s="342">
        <v>4</v>
      </c>
      <c r="L229" s="342">
        <v>4</v>
      </c>
      <c r="M229" s="341">
        <v>4</v>
      </c>
      <c r="N229" s="341">
        <v>7</v>
      </c>
      <c r="O229" s="343">
        <v>7</v>
      </c>
      <c r="P229" s="341">
        <v>7</v>
      </c>
      <c r="Q229" s="341">
        <v>7</v>
      </c>
      <c r="R229" s="341">
        <v>12</v>
      </c>
      <c r="S229" s="341">
        <v>12</v>
      </c>
      <c r="T229" s="341">
        <v>17</v>
      </c>
    </row>
    <row r="230" spans="1:20" s="358" customFormat="1" ht="17.25" customHeight="1">
      <c r="A230" s="428"/>
      <c r="B230" s="332" t="s">
        <v>821</v>
      </c>
      <c r="C230" s="310" t="s">
        <v>94</v>
      </c>
      <c r="D230" s="311">
        <v>9</v>
      </c>
      <c r="E230" s="311">
        <v>11</v>
      </c>
      <c r="F230" s="311">
        <v>10</v>
      </c>
      <c r="G230" s="340">
        <v>11</v>
      </c>
      <c r="H230" s="340">
        <v>11</v>
      </c>
      <c r="I230" s="508">
        <v>10</v>
      </c>
      <c r="J230" s="341">
        <v>10</v>
      </c>
      <c r="K230" s="342">
        <v>10</v>
      </c>
      <c r="L230" s="342">
        <v>10</v>
      </c>
      <c r="M230" s="341">
        <v>10</v>
      </c>
      <c r="N230" s="341">
        <v>10</v>
      </c>
      <c r="O230" s="343">
        <v>10</v>
      </c>
      <c r="P230" s="341">
        <v>10</v>
      </c>
      <c r="Q230" s="341">
        <v>10</v>
      </c>
      <c r="R230" s="341">
        <v>10</v>
      </c>
      <c r="S230" s="341">
        <v>15</v>
      </c>
      <c r="T230" s="341">
        <v>18</v>
      </c>
    </row>
    <row r="231" spans="1:20" s="358" customFormat="1" ht="17.25" customHeight="1">
      <c r="A231" s="428"/>
      <c r="B231" s="332" t="s">
        <v>822</v>
      </c>
      <c r="C231" s="310" t="s">
        <v>94</v>
      </c>
      <c r="D231" s="311">
        <v>5</v>
      </c>
      <c r="E231" s="311">
        <v>5</v>
      </c>
      <c r="F231" s="311">
        <v>5</v>
      </c>
      <c r="G231" s="340">
        <v>5</v>
      </c>
      <c r="H231" s="340">
        <v>5</v>
      </c>
      <c r="I231" s="508">
        <v>4</v>
      </c>
      <c r="J231" s="341">
        <v>5</v>
      </c>
      <c r="K231" s="342">
        <v>5</v>
      </c>
      <c r="L231" s="342">
        <v>5</v>
      </c>
      <c r="M231" s="341">
        <v>5</v>
      </c>
      <c r="N231" s="341">
        <v>7</v>
      </c>
      <c r="O231" s="343">
        <v>7</v>
      </c>
      <c r="P231" s="341">
        <v>7</v>
      </c>
      <c r="Q231" s="341">
        <v>7</v>
      </c>
      <c r="R231" s="341">
        <v>7</v>
      </c>
      <c r="S231" s="341">
        <v>12</v>
      </c>
      <c r="T231" s="341">
        <v>20</v>
      </c>
    </row>
    <row r="232" spans="1:20" s="358" customFormat="1" ht="17.25" customHeight="1">
      <c r="A232" s="428"/>
      <c r="B232" s="332" t="s">
        <v>823</v>
      </c>
      <c r="C232" s="310" t="s">
        <v>94</v>
      </c>
      <c r="D232" s="311">
        <v>4</v>
      </c>
      <c r="E232" s="311">
        <v>3</v>
      </c>
      <c r="F232" s="311">
        <v>4</v>
      </c>
      <c r="G232" s="340">
        <v>4</v>
      </c>
      <c r="H232" s="340">
        <v>4</v>
      </c>
      <c r="I232" s="508">
        <v>3</v>
      </c>
      <c r="J232" s="341">
        <v>2</v>
      </c>
      <c r="K232" s="342">
        <v>2</v>
      </c>
      <c r="L232" s="342">
        <v>2</v>
      </c>
      <c r="M232" s="341">
        <v>2</v>
      </c>
      <c r="N232" s="341">
        <v>2</v>
      </c>
      <c r="O232" s="343">
        <v>2</v>
      </c>
      <c r="P232" s="341">
        <v>2</v>
      </c>
      <c r="Q232" s="341">
        <v>7</v>
      </c>
      <c r="R232" s="341">
        <v>12</v>
      </c>
      <c r="S232" s="341">
        <v>12</v>
      </c>
      <c r="T232" s="341">
        <v>17</v>
      </c>
    </row>
    <row r="233" spans="1:20" s="358" customFormat="1" ht="17.25" customHeight="1">
      <c r="A233" s="428"/>
      <c r="B233" s="332" t="s">
        <v>824</v>
      </c>
      <c r="C233" s="310" t="s">
        <v>94</v>
      </c>
      <c r="D233" s="311">
        <v>4</v>
      </c>
      <c r="E233" s="311">
        <v>5</v>
      </c>
      <c r="F233" s="311">
        <v>5</v>
      </c>
      <c r="G233" s="340">
        <v>5</v>
      </c>
      <c r="H233" s="340">
        <v>7</v>
      </c>
      <c r="I233" s="508">
        <v>7</v>
      </c>
      <c r="J233" s="341">
        <v>6</v>
      </c>
      <c r="K233" s="342">
        <v>6</v>
      </c>
      <c r="L233" s="342">
        <v>6</v>
      </c>
      <c r="M233" s="341">
        <v>6</v>
      </c>
      <c r="N233" s="341">
        <v>8</v>
      </c>
      <c r="O233" s="343">
        <v>8</v>
      </c>
      <c r="P233" s="341">
        <v>8</v>
      </c>
      <c r="Q233" s="341">
        <v>8</v>
      </c>
      <c r="R233" s="341">
        <v>13</v>
      </c>
      <c r="S233" s="341">
        <v>13</v>
      </c>
      <c r="T233" s="341">
        <v>20</v>
      </c>
    </row>
    <row r="234" spans="1:20" s="358" customFormat="1" ht="17.25" customHeight="1">
      <c r="A234" s="428"/>
      <c r="B234" s="332" t="s">
        <v>825</v>
      </c>
      <c r="C234" s="310" t="s">
        <v>94</v>
      </c>
      <c r="D234" s="311">
        <v>4</v>
      </c>
      <c r="E234" s="311">
        <v>4</v>
      </c>
      <c r="F234" s="311">
        <v>4</v>
      </c>
      <c r="G234" s="340">
        <v>5</v>
      </c>
      <c r="H234" s="340">
        <v>4</v>
      </c>
      <c r="I234" s="508">
        <v>4</v>
      </c>
      <c r="J234" s="341">
        <v>4</v>
      </c>
      <c r="K234" s="342">
        <v>4</v>
      </c>
      <c r="L234" s="342">
        <v>4</v>
      </c>
      <c r="M234" s="341">
        <v>4</v>
      </c>
      <c r="N234" s="341">
        <v>7</v>
      </c>
      <c r="O234" s="343">
        <v>7</v>
      </c>
      <c r="P234" s="341">
        <v>7</v>
      </c>
      <c r="Q234" s="341">
        <v>7</v>
      </c>
      <c r="R234" s="341">
        <v>7</v>
      </c>
      <c r="S234" s="341">
        <v>12</v>
      </c>
      <c r="T234" s="341">
        <v>17</v>
      </c>
    </row>
    <row r="235" spans="1:20" s="358" customFormat="1" ht="17.25" customHeight="1">
      <c r="A235" s="428"/>
      <c r="B235" s="332" t="s">
        <v>826</v>
      </c>
      <c r="C235" s="310" t="s">
        <v>94</v>
      </c>
      <c r="D235" s="311">
        <v>4</v>
      </c>
      <c r="E235" s="311">
        <v>4</v>
      </c>
      <c r="F235" s="311">
        <v>4</v>
      </c>
      <c r="G235" s="340">
        <v>4</v>
      </c>
      <c r="H235" s="340">
        <v>4</v>
      </c>
      <c r="I235" s="508">
        <v>3</v>
      </c>
      <c r="J235" s="341">
        <v>3</v>
      </c>
      <c r="K235" s="342">
        <v>3</v>
      </c>
      <c r="L235" s="342">
        <v>3</v>
      </c>
      <c r="M235" s="341">
        <v>3</v>
      </c>
      <c r="N235" s="341">
        <v>3</v>
      </c>
      <c r="O235" s="343">
        <v>3</v>
      </c>
      <c r="P235" s="341">
        <v>7</v>
      </c>
      <c r="Q235" s="341">
        <v>7</v>
      </c>
      <c r="R235" s="341">
        <v>7</v>
      </c>
      <c r="S235" s="341">
        <v>12</v>
      </c>
      <c r="T235" s="341">
        <v>20</v>
      </c>
    </row>
    <row r="236" spans="1:20" s="358" customFormat="1" ht="17.25" customHeight="1">
      <c r="A236" s="428"/>
      <c r="B236" s="332" t="s">
        <v>827</v>
      </c>
      <c r="C236" s="310" t="s">
        <v>94</v>
      </c>
      <c r="D236" s="311">
        <v>2</v>
      </c>
      <c r="E236" s="311">
        <v>2</v>
      </c>
      <c r="F236" s="311">
        <v>2</v>
      </c>
      <c r="G236" s="340">
        <v>2</v>
      </c>
      <c r="H236" s="340">
        <v>2</v>
      </c>
      <c r="I236" s="508">
        <v>2</v>
      </c>
      <c r="J236" s="341">
        <v>2</v>
      </c>
      <c r="K236" s="342">
        <v>2</v>
      </c>
      <c r="L236" s="342">
        <v>2</v>
      </c>
      <c r="M236" s="341">
        <v>2</v>
      </c>
      <c r="N236" s="341">
        <v>2</v>
      </c>
      <c r="O236" s="343">
        <v>2</v>
      </c>
      <c r="P236" s="341">
        <v>5</v>
      </c>
      <c r="Q236" s="341">
        <v>7</v>
      </c>
      <c r="R236" s="341">
        <v>12</v>
      </c>
      <c r="S236" s="341">
        <v>12</v>
      </c>
      <c r="T236" s="341">
        <v>20</v>
      </c>
    </row>
    <row r="237" spans="1:20" s="358" customFormat="1" ht="17.25" customHeight="1">
      <c r="A237" s="428"/>
      <c r="B237" s="332" t="s">
        <v>828</v>
      </c>
      <c r="C237" s="310" t="s">
        <v>94</v>
      </c>
      <c r="D237" s="311">
        <v>7</v>
      </c>
      <c r="E237" s="311">
        <v>8</v>
      </c>
      <c r="F237" s="311">
        <v>10</v>
      </c>
      <c r="G237" s="340">
        <v>10</v>
      </c>
      <c r="H237" s="340">
        <v>10</v>
      </c>
      <c r="I237" s="508">
        <v>10</v>
      </c>
      <c r="J237" s="341">
        <v>10</v>
      </c>
      <c r="K237" s="342">
        <v>10</v>
      </c>
      <c r="L237" s="342">
        <v>10</v>
      </c>
      <c r="M237" s="341">
        <v>10</v>
      </c>
      <c r="N237" s="341">
        <v>10</v>
      </c>
      <c r="O237" s="343">
        <v>10</v>
      </c>
      <c r="P237" s="341">
        <v>10</v>
      </c>
      <c r="Q237" s="341">
        <v>10</v>
      </c>
      <c r="R237" s="341">
        <v>10</v>
      </c>
      <c r="S237" s="341">
        <v>10</v>
      </c>
      <c r="T237" s="341">
        <v>17</v>
      </c>
    </row>
    <row r="238" spans="1:20" s="358" customFormat="1" ht="17.25" customHeight="1">
      <c r="A238" s="428"/>
      <c r="B238" s="332" t="s">
        <v>829</v>
      </c>
      <c r="C238" s="310" t="s">
        <v>94</v>
      </c>
      <c r="D238" s="311"/>
      <c r="E238" s="311"/>
      <c r="F238" s="311"/>
      <c r="G238" s="340">
        <v>2</v>
      </c>
      <c r="H238" s="340">
        <v>3</v>
      </c>
      <c r="I238" s="508">
        <v>3</v>
      </c>
      <c r="J238" s="341">
        <v>3</v>
      </c>
      <c r="K238" s="342">
        <v>3</v>
      </c>
      <c r="L238" s="342">
        <v>3</v>
      </c>
      <c r="M238" s="341">
        <v>3</v>
      </c>
      <c r="N238" s="341">
        <v>3</v>
      </c>
      <c r="O238" s="343">
        <v>3</v>
      </c>
      <c r="P238" s="341">
        <v>4</v>
      </c>
      <c r="Q238" s="341">
        <v>7</v>
      </c>
      <c r="R238" s="341">
        <v>12</v>
      </c>
      <c r="S238" s="341">
        <v>12</v>
      </c>
      <c r="T238" s="341">
        <v>17</v>
      </c>
    </row>
    <row r="239" spans="1:20" s="358" customFormat="1" ht="17.25" customHeight="1">
      <c r="A239" s="428"/>
      <c r="B239" s="332"/>
      <c r="C239" s="310" t="s">
        <v>94</v>
      </c>
      <c r="D239" s="311">
        <v>38</v>
      </c>
      <c r="E239" s="311">
        <v>40</v>
      </c>
      <c r="F239" s="311">
        <v>43</v>
      </c>
      <c r="G239" s="340">
        <v>45</v>
      </c>
      <c r="H239" s="340">
        <v>42</v>
      </c>
      <c r="I239" s="508">
        <v>42</v>
      </c>
      <c r="J239" s="341">
        <v>42</v>
      </c>
      <c r="K239" s="342">
        <v>42</v>
      </c>
      <c r="L239" s="342">
        <v>42</v>
      </c>
      <c r="M239" s="341">
        <v>42</v>
      </c>
      <c r="N239" s="341">
        <v>42</v>
      </c>
      <c r="O239" s="343">
        <v>42</v>
      </c>
      <c r="P239" s="341">
        <v>42</v>
      </c>
      <c r="Q239" s="341">
        <v>42</v>
      </c>
      <c r="R239" s="341">
        <v>42</v>
      </c>
      <c r="S239" s="341">
        <v>42</v>
      </c>
      <c r="T239" s="341">
        <v>42</v>
      </c>
    </row>
    <row r="240" spans="1:20" s="358" customFormat="1" ht="17.25" customHeight="1">
      <c r="A240" s="339"/>
      <c r="B240" s="433" t="s">
        <v>842</v>
      </c>
      <c r="C240" s="434" t="s">
        <v>94</v>
      </c>
      <c r="D240" s="435">
        <v>39</v>
      </c>
      <c r="E240" s="435">
        <v>39</v>
      </c>
      <c r="F240" s="435">
        <v>42</v>
      </c>
      <c r="G240" s="436">
        <v>44</v>
      </c>
      <c r="H240" s="436">
        <v>41</v>
      </c>
      <c r="I240" s="520">
        <v>34</v>
      </c>
      <c r="J240" s="436">
        <v>37</v>
      </c>
      <c r="K240" s="435">
        <v>36</v>
      </c>
      <c r="L240" s="435">
        <v>36</v>
      </c>
      <c r="M240" s="436">
        <v>36</v>
      </c>
      <c r="N240" s="436">
        <v>40</v>
      </c>
      <c r="O240" s="437">
        <v>40</v>
      </c>
      <c r="P240" s="436">
        <v>40</v>
      </c>
      <c r="Q240" s="436">
        <v>44</v>
      </c>
      <c r="R240" s="436">
        <v>45</v>
      </c>
      <c r="S240" s="436">
        <v>50</v>
      </c>
      <c r="T240" s="436">
        <v>50</v>
      </c>
    </row>
    <row r="241" spans="1:20" s="358" customFormat="1" ht="17.25" customHeight="1">
      <c r="A241" s="339"/>
      <c r="B241" s="332" t="s">
        <v>843</v>
      </c>
      <c r="C241" s="310"/>
      <c r="D241" s="311"/>
      <c r="E241" s="311"/>
      <c r="F241" s="311"/>
      <c r="G241" s="346"/>
      <c r="H241" s="346"/>
      <c r="I241" s="505"/>
      <c r="J241" s="357"/>
      <c r="K241" s="310"/>
      <c r="L241" s="310"/>
      <c r="M241" s="357"/>
      <c r="N241" s="357"/>
      <c r="O241" s="344"/>
      <c r="P241" s="357"/>
      <c r="Q241" s="357"/>
      <c r="R241" s="357"/>
      <c r="S241" s="357"/>
      <c r="T241" s="344"/>
    </row>
    <row r="242" spans="1:20" s="358" customFormat="1" ht="17.25" customHeight="1">
      <c r="A242" s="339"/>
      <c r="B242" s="332" t="s">
        <v>718</v>
      </c>
      <c r="C242" s="310" t="s">
        <v>94</v>
      </c>
      <c r="D242" s="311">
        <v>2</v>
      </c>
      <c r="E242" s="311">
        <v>2</v>
      </c>
      <c r="F242" s="311">
        <v>2</v>
      </c>
      <c r="G242" s="346">
        <v>2</v>
      </c>
      <c r="H242" s="346">
        <v>2</v>
      </c>
      <c r="I242" s="505">
        <v>2</v>
      </c>
      <c r="J242" s="357">
        <v>2</v>
      </c>
      <c r="K242" s="310">
        <v>2</v>
      </c>
      <c r="L242" s="310">
        <v>2</v>
      </c>
      <c r="M242" s="357">
        <v>2</v>
      </c>
      <c r="N242" s="357">
        <v>2</v>
      </c>
      <c r="O242" s="344">
        <v>2</v>
      </c>
      <c r="P242" s="357">
        <v>2</v>
      </c>
      <c r="Q242" s="357">
        <v>2</v>
      </c>
      <c r="R242" s="357">
        <v>2</v>
      </c>
      <c r="S242" s="357">
        <v>2</v>
      </c>
      <c r="T242" s="344">
        <v>2</v>
      </c>
    </row>
    <row r="243" spans="1:20" s="358" customFormat="1" ht="17.25" customHeight="1">
      <c r="A243" s="339"/>
      <c r="B243" s="349" t="s">
        <v>138</v>
      </c>
      <c r="C243" s="310" t="s">
        <v>94</v>
      </c>
      <c r="D243" s="311">
        <v>2</v>
      </c>
      <c r="E243" s="311">
        <v>2</v>
      </c>
      <c r="F243" s="311">
        <v>2</v>
      </c>
      <c r="G243" s="346">
        <v>2</v>
      </c>
      <c r="H243" s="346">
        <v>2</v>
      </c>
      <c r="I243" s="505">
        <v>2</v>
      </c>
      <c r="J243" s="357">
        <v>2</v>
      </c>
      <c r="K243" s="310">
        <v>2</v>
      </c>
      <c r="L243" s="310">
        <v>2</v>
      </c>
      <c r="M243" s="357">
        <v>2</v>
      </c>
      <c r="N243" s="357">
        <v>2</v>
      </c>
      <c r="O243" s="344">
        <v>2</v>
      </c>
      <c r="P243" s="357">
        <v>2</v>
      </c>
      <c r="Q243" s="357">
        <v>2</v>
      </c>
      <c r="R243" s="357">
        <v>2</v>
      </c>
      <c r="S243" s="357">
        <v>2</v>
      </c>
      <c r="T243" s="344">
        <v>2</v>
      </c>
    </row>
    <row r="244" spans="1:20" s="358" customFormat="1" ht="17.25" customHeight="1">
      <c r="A244" s="339"/>
      <c r="B244" s="349" t="s">
        <v>139</v>
      </c>
      <c r="C244" s="310" t="s">
        <v>94</v>
      </c>
      <c r="D244" s="311">
        <v>1</v>
      </c>
      <c r="E244" s="311">
        <v>1</v>
      </c>
      <c r="F244" s="311">
        <v>1</v>
      </c>
      <c r="G244" s="346">
        <v>1</v>
      </c>
      <c r="H244" s="346">
        <v>1</v>
      </c>
      <c r="I244" s="505">
        <v>1</v>
      </c>
      <c r="J244" s="357">
        <v>1</v>
      </c>
      <c r="K244" s="310">
        <v>1</v>
      </c>
      <c r="L244" s="310">
        <v>1</v>
      </c>
      <c r="M244" s="357">
        <v>1</v>
      </c>
      <c r="N244" s="357">
        <v>1</v>
      </c>
      <c r="O244" s="344">
        <v>1</v>
      </c>
      <c r="P244" s="357">
        <v>1</v>
      </c>
      <c r="Q244" s="357">
        <v>1</v>
      </c>
      <c r="R244" s="357">
        <v>1</v>
      </c>
      <c r="S244" s="357">
        <v>1</v>
      </c>
      <c r="T244" s="344">
        <v>1</v>
      </c>
    </row>
    <row r="245" spans="1:20" s="358" customFormat="1" ht="17.25" customHeight="1">
      <c r="A245" s="339"/>
      <c r="B245" s="349" t="s">
        <v>140</v>
      </c>
      <c r="C245" s="310" t="s">
        <v>94</v>
      </c>
      <c r="D245" s="311"/>
      <c r="E245" s="311"/>
      <c r="F245" s="311"/>
      <c r="G245" s="346"/>
      <c r="H245" s="346"/>
      <c r="I245" s="505"/>
      <c r="J245" s="357"/>
      <c r="K245" s="310"/>
      <c r="L245" s="310"/>
      <c r="M245" s="357"/>
      <c r="N245" s="357"/>
      <c r="O245" s="344"/>
      <c r="P245" s="357"/>
      <c r="Q245" s="357">
        <v>4</v>
      </c>
      <c r="R245" s="357">
        <v>4</v>
      </c>
      <c r="S245" s="357">
        <v>4</v>
      </c>
      <c r="T245" s="344">
        <v>4</v>
      </c>
    </row>
    <row r="246" spans="1:20" s="358" customFormat="1" ht="17.25" customHeight="1">
      <c r="A246" s="339"/>
      <c r="B246" s="349" t="s">
        <v>141</v>
      </c>
      <c r="C246" s="310" t="s">
        <v>94</v>
      </c>
      <c r="D246" s="311">
        <v>2</v>
      </c>
      <c r="E246" s="311">
        <v>2</v>
      </c>
      <c r="F246" s="311">
        <v>2</v>
      </c>
      <c r="G246" s="346">
        <v>2</v>
      </c>
      <c r="H246" s="346">
        <v>2</v>
      </c>
      <c r="I246" s="505">
        <v>2</v>
      </c>
      <c r="J246" s="357">
        <v>2</v>
      </c>
      <c r="K246" s="310">
        <v>2</v>
      </c>
      <c r="L246" s="310">
        <v>2</v>
      </c>
      <c r="M246" s="357">
        <v>2</v>
      </c>
      <c r="N246" s="357">
        <v>2</v>
      </c>
      <c r="O246" s="344">
        <v>2</v>
      </c>
      <c r="P246" s="357">
        <v>2</v>
      </c>
      <c r="Q246" s="357">
        <v>2</v>
      </c>
      <c r="R246" s="357">
        <v>2</v>
      </c>
      <c r="S246" s="357">
        <v>2</v>
      </c>
      <c r="T246" s="344">
        <v>2</v>
      </c>
    </row>
    <row r="247" spans="1:20" s="358" customFormat="1" ht="17.25" customHeight="1">
      <c r="A247" s="339"/>
      <c r="B247" s="349" t="s">
        <v>142</v>
      </c>
      <c r="C247" s="310" t="s">
        <v>94</v>
      </c>
      <c r="D247" s="311">
        <v>1</v>
      </c>
      <c r="E247" s="311">
        <v>1</v>
      </c>
      <c r="F247" s="311">
        <v>2</v>
      </c>
      <c r="G247" s="346">
        <v>2</v>
      </c>
      <c r="H247" s="346">
        <v>2</v>
      </c>
      <c r="I247" s="505">
        <v>3</v>
      </c>
      <c r="J247" s="357">
        <v>3</v>
      </c>
      <c r="K247" s="310">
        <v>3</v>
      </c>
      <c r="L247" s="310">
        <v>3</v>
      </c>
      <c r="M247" s="357">
        <v>3</v>
      </c>
      <c r="N247" s="357">
        <v>3</v>
      </c>
      <c r="O247" s="344">
        <v>3</v>
      </c>
      <c r="P247" s="357">
        <v>3</v>
      </c>
      <c r="Q247" s="357">
        <v>3</v>
      </c>
      <c r="R247" s="357">
        <v>3</v>
      </c>
      <c r="S247" s="357">
        <v>3</v>
      </c>
      <c r="T247" s="344">
        <v>3</v>
      </c>
    </row>
    <row r="248" spans="1:20" s="358" customFormat="1" ht="17.25" customHeight="1">
      <c r="A248" s="339"/>
      <c r="B248" s="349" t="s">
        <v>143</v>
      </c>
      <c r="C248" s="310" t="s">
        <v>94</v>
      </c>
      <c r="D248" s="311">
        <v>31</v>
      </c>
      <c r="E248" s="311">
        <v>31</v>
      </c>
      <c r="F248" s="311">
        <v>33</v>
      </c>
      <c r="G248" s="346">
        <v>35</v>
      </c>
      <c r="H248" s="346">
        <v>32</v>
      </c>
      <c r="I248" s="505">
        <v>24</v>
      </c>
      <c r="J248" s="357">
        <v>27</v>
      </c>
      <c r="K248" s="310">
        <v>26</v>
      </c>
      <c r="L248" s="310">
        <v>26</v>
      </c>
      <c r="M248" s="357">
        <v>26</v>
      </c>
      <c r="N248" s="357">
        <v>30</v>
      </c>
      <c r="O248" s="344">
        <v>30</v>
      </c>
      <c r="P248" s="357">
        <v>30</v>
      </c>
      <c r="Q248" s="357">
        <v>30</v>
      </c>
      <c r="R248" s="357">
        <v>31</v>
      </c>
      <c r="S248" s="357">
        <v>36</v>
      </c>
      <c r="T248" s="344">
        <v>36</v>
      </c>
    </row>
    <row r="249" spans="1:20" s="358" customFormat="1" ht="17.25" customHeight="1">
      <c r="A249" s="438">
        <v>3</v>
      </c>
      <c r="B249" s="313" t="s">
        <v>911</v>
      </c>
      <c r="C249" s="310"/>
      <c r="D249" s="306">
        <f>D250+D256+D269</f>
        <v>48</v>
      </c>
      <c r="E249" s="306">
        <f t="shared" ref="E249:T249" si="31">E250+E256+E269</f>
        <v>49</v>
      </c>
      <c r="F249" s="306">
        <f t="shared" si="31"/>
        <v>54</v>
      </c>
      <c r="G249" s="306">
        <f t="shared" si="31"/>
        <v>53</v>
      </c>
      <c r="H249" s="306">
        <f t="shared" si="31"/>
        <v>52</v>
      </c>
      <c r="I249" s="492">
        <f t="shared" si="31"/>
        <v>55</v>
      </c>
      <c r="J249" s="306">
        <f t="shared" si="31"/>
        <v>53</v>
      </c>
      <c r="K249" s="306">
        <f t="shared" si="31"/>
        <v>65</v>
      </c>
      <c r="L249" s="306">
        <f t="shared" si="31"/>
        <v>65</v>
      </c>
      <c r="M249" s="306">
        <f t="shared" si="31"/>
        <v>65</v>
      </c>
      <c r="N249" s="306">
        <f t="shared" si="31"/>
        <v>65</v>
      </c>
      <c r="O249" s="306">
        <f t="shared" si="31"/>
        <v>65</v>
      </c>
      <c r="P249" s="306">
        <f t="shared" si="31"/>
        <v>70</v>
      </c>
      <c r="Q249" s="306">
        <f t="shared" si="31"/>
        <v>70</v>
      </c>
      <c r="R249" s="306">
        <f t="shared" si="31"/>
        <v>70</v>
      </c>
      <c r="S249" s="306">
        <f t="shared" si="31"/>
        <v>70</v>
      </c>
      <c r="T249" s="306">
        <f t="shared" si="31"/>
        <v>70</v>
      </c>
    </row>
    <row r="250" spans="1:20" s="358" customFormat="1" ht="17.25" customHeight="1">
      <c r="A250" s="339"/>
      <c r="B250" s="326" t="s">
        <v>758</v>
      </c>
      <c r="C250" s="310" t="s">
        <v>94</v>
      </c>
      <c r="D250" s="306">
        <f t="shared" ref="D250:I250" si="32">D252+D253+D254+D255</f>
        <v>17</v>
      </c>
      <c r="E250" s="306">
        <f t="shared" si="32"/>
        <v>16</v>
      </c>
      <c r="F250" s="306">
        <f t="shared" si="32"/>
        <v>20</v>
      </c>
      <c r="G250" s="306">
        <f t="shared" si="32"/>
        <v>16</v>
      </c>
      <c r="H250" s="306">
        <f t="shared" si="32"/>
        <v>17</v>
      </c>
      <c r="I250" s="492">
        <f t="shared" si="32"/>
        <v>19</v>
      </c>
      <c r="J250" s="439">
        <v>21</v>
      </c>
      <c r="K250" s="439">
        <v>23</v>
      </c>
      <c r="L250" s="439">
        <v>25</v>
      </c>
      <c r="M250" s="439">
        <v>26</v>
      </c>
      <c r="N250" s="439">
        <v>26</v>
      </c>
      <c r="O250" s="439">
        <v>26</v>
      </c>
      <c r="P250" s="439">
        <v>26</v>
      </c>
      <c r="Q250" s="439">
        <v>26</v>
      </c>
      <c r="R250" s="439">
        <v>26</v>
      </c>
      <c r="S250" s="439">
        <v>26</v>
      </c>
      <c r="T250" s="439">
        <v>26</v>
      </c>
    </row>
    <row r="251" spans="1:20" s="358" customFormat="1" ht="17.25" customHeight="1">
      <c r="A251" s="339"/>
      <c r="B251" s="308" t="s">
        <v>786</v>
      </c>
      <c r="C251" s="310"/>
      <c r="D251" s="310"/>
      <c r="E251" s="310"/>
      <c r="F251" s="310"/>
      <c r="G251" s="373"/>
      <c r="H251" s="373"/>
      <c r="I251" s="508"/>
      <c r="J251" s="345"/>
      <c r="K251" s="345"/>
      <c r="L251" s="345"/>
      <c r="M251" s="345"/>
      <c r="N251" s="347"/>
      <c r="O251" s="347"/>
      <c r="P251" s="347"/>
      <c r="Q251" s="347"/>
      <c r="R251" s="347"/>
      <c r="S251" s="347"/>
      <c r="T251" s="347"/>
    </row>
    <row r="252" spans="1:20" s="358" customFormat="1" ht="17.25" customHeight="1">
      <c r="A252" s="339"/>
      <c r="B252" s="328" t="s">
        <v>787</v>
      </c>
      <c r="C252" s="310" t="s">
        <v>94</v>
      </c>
      <c r="D252" s="310"/>
      <c r="E252" s="310"/>
      <c r="F252" s="310"/>
      <c r="G252" s="373"/>
      <c r="H252" s="373"/>
      <c r="I252" s="508"/>
      <c r="J252" s="345"/>
      <c r="K252" s="345">
        <v>1</v>
      </c>
      <c r="L252" s="345">
        <v>1</v>
      </c>
      <c r="M252" s="345">
        <v>1</v>
      </c>
      <c r="N252" s="347">
        <v>1</v>
      </c>
      <c r="O252" s="347">
        <v>1</v>
      </c>
      <c r="P252" s="347">
        <v>1</v>
      </c>
      <c r="Q252" s="347">
        <v>1</v>
      </c>
      <c r="R252" s="347">
        <v>1</v>
      </c>
      <c r="S252" s="347">
        <v>1</v>
      </c>
      <c r="T252" s="347">
        <v>1</v>
      </c>
    </row>
    <row r="253" spans="1:20" s="358" customFormat="1" ht="17.25" customHeight="1">
      <c r="A253" s="339"/>
      <c r="B253" s="308" t="s">
        <v>788</v>
      </c>
      <c r="C253" s="310" t="s">
        <v>94</v>
      </c>
      <c r="D253" s="311">
        <v>2</v>
      </c>
      <c r="E253" s="311"/>
      <c r="F253" s="311">
        <v>2</v>
      </c>
      <c r="G253" s="346">
        <v>2</v>
      </c>
      <c r="H253" s="346">
        <v>7</v>
      </c>
      <c r="I253" s="505">
        <v>7</v>
      </c>
      <c r="J253" s="345">
        <v>7</v>
      </c>
      <c r="K253" s="345">
        <v>7</v>
      </c>
      <c r="L253" s="345">
        <v>6</v>
      </c>
      <c r="M253" s="345">
        <v>8</v>
      </c>
      <c r="N253" s="346">
        <v>9</v>
      </c>
      <c r="O253" s="346">
        <v>9</v>
      </c>
      <c r="P253" s="346">
        <v>9</v>
      </c>
      <c r="Q253" s="346">
        <v>9</v>
      </c>
      <c r="R253" s="346">
        <v>9</v>
      </c>
      <c r="S253" s="346">
        <v>9</v>
      </c>
      <c r="T253" s="346">
        <v>11</v>
      </c>
    </row>
    <row r="254" spans="1:20" s="358" customFormat="1" ht="17.25" customHeight="1">
      <c r="A254" s="339"/>
      <c r="B254" s="308" t="s">
        <v>789</v>
      </c>
      <c r="C254" s="310" t="s">
        <v>94</v>
      </c>
      <c r="D254" s="345">
        <v>5</v>
      </c>
      <c r="E254" s="345">
        <v>6</v>
      </c>
      <c r="F254" s="345">
        <v>6</v>
      </c>
      <c r="G254" s="345">
        <v>6</v>
      </c>
      <c r="H254" s="345">
        <v>6</v>
      </c>
      <c r="I254" s="521">
        <v>6</v>
      </c>
      <c r="J254" s="345">
        <v>7</v>
      </c>
      <c r="K254" s="345">
        <v>7</v>
      </c>
      <c r="L254" s="345">
        <v>9</v>
      </c>
      <c r="M254" s="345">
        <v>8</v>
      </c>
      <c r="N254" s="346">
        <v>8</v>
      </c>
      <c r="O254" s="346">
        <v>8</v>
      </c>
      <c r="P254" s="346">
        <v>8</v>
      </c>
      <c r="Q254" s="346">
        <v>9</v>
      </c>
      <c r="R254" s="346">
        <v>9</v>
      </c>
      <c r="S254" s="346">
        <v>9</v>
      </c>
      <c r="T254" s="346">
        <v>9</v>
      </c>
    </row>
    <row r="255" spans="1:20" s="358" customFormat="1" ht="17.25" customHeight="1">
      <c r="A255" s="339"/>
      <c r="B255" s="328" t="s">
        <v>135</v>
      </c>
      <c r="C255" s="310" t="s">
        <v>94</v>
      </c>
      <c r="D255" s="345">
        <v>10</v>
      </c>
      <c r="E255" s="345">
        <v>10</v>
      </c>
      <c r="F255" s="345">
        <v>12</v>
      </c>
      <c r="G255" s="345">
        <v>8</v>
      </c>
      <c r="H255" s="345">
        <v>4</v>
      </c>
      <c r="I255" s="521">
        <v>6</v>
      </c>
      <c r="J255" s="345">
        <v>7</v>
      </c>
      <c r="K255" s="345">
        <v>8</v>
      </c>
      <c r="L255" s="345">
        <v>9</v>
      </c>
      <c r="M255" s="345">
        <v>9</v>
      </c>
      <c r="N255" s="440">
        <v>8</v>
      </c>
      <c r="O255" s="345">
        <v>8</v>
      </c>
      <c r="P255" s="345">
        <v>8</v>
      </c>
      <c r="Q255" s="345">
        <v>7</v>
      </c>
      <c r="R255" s="345">
        <v>7</v>
      </c>
      <c r="S255" s="345">
        <v>7</v>
      </c>
      <c r="T255" s="345">
        <v>5</v>
      </c>
    </row>
    <row r="256" spans="1:20" s="358" customFormat="1" ht="17.25" customHeight="1">
      <c r="A256" s="339"/>
      <c r="B256" s="330" t="s">
        <v>912</v>
      </c>
      <c r="C256" s="306"/>
      <c r="D256" s="360">
        <f>D258+D259+D260+D261+D262+D263</f>
        <v>17</v>
      </c>
      <c r="E256" s="360">
        <f t="shared" ref="E256:T256" si="33">E258+E259+E260+E261+E262+E263</f>
        <v>23</v>
      </c>
      <c r="F256" s="360">
        <f t="shared" si="33"/>
        <v>23</v>
      </c>
      <c r="G256" s="360">
        <f t="shared" si="33"/>
        <v>25</v>
      </c>
      <c r="H256" s="360">
        <f t="shared" si="33"/>
        <v>23</v>
      </c>
      <c r="I256" s="501">
        <f t="shared" si="33"/>
        <v>24</v>
      </c>
      <c r="J256" s="360">
        <f t="shared" si="33"/>
        <v>20</v>
      </c>
      <c r="K256" s="360">
        <f t="shared" si="33"/>
        <v>29</v>
      </c>
      <c r="L256" s="360">
        <f t="shared" si="33"/>
        <v>27</v>
      </c>
      <c r="M256" s="360">
        <f t="shared" si="33"/>
        <v>26</v>
      </c>
      <c r="N256" s="360">
        <f t="shared" si="33"/>
        <v>26</v>
      </c>
      <c r="O256" s="360">
        <f t="shared" si="33"/>
        <v>26</v>
      </c>
      <c r="P256" s="360">
        <f t="shared" si="33"/>
        <v>31</v>
      </c>
      <c r="Q256" s="360">
        <f t="shared" si="33"/>
        <v>31</v>
      </c>
      <c r="R256" s="360">
        <f t="shared" si="33"/>
        <v>31</v>
      </c>
      <c r="S256" s="360">
        <f t="shared" si="33"/>
        <v>31</v>
      </c>
      <c r="T256" s="360">
        <f t="shared" si="33"/>
        <v>31</v>
      </c>
    </row>
    <row r="257" spans="1:20" s="358" customFormat="1" ht="17.25" customHeight="1">
      <c r="A257" s="339"/>
      <c r="B257" s="329" t="s">
        <v>913</v>
      </c>
      <c r="C257" s="310" t="s">
        <v>94</v>
      </c>
      <c r="D257" s="311"/>
      <c r="E257" s="311"/>
      <c r="F257" s="311"/>
      <c r="G257" s="311"/>
      <c r="H257" s="311"/>
      <c r="I257" s="494"/>
      <c r="J257" s="345"/>
      <c r="K257" s="311"/>
      <c r="L257" s="311"/>
      <c r="M257" s="346"/>
      <c r="N257" s="346"/>
      <c r="O257" s="345"/>
      <c r="P257" s="346"/>
      <c r="Q257" s="346"/>
      <c r="R257" s="346"/>
      <c r="S257" s="346"/>
      <c r="T257" s="346"/>
    </row>
    <row r="258" spans="1:20" s="358" customFormat="1" ht="17.25" customHeight="1">
      <c r="A258" s="339"/>
      <c r="B258" s="328" t="s">
        <v>787</v>
      </c>
      <c r="C258" s="310" t="s">
        <v>94</v>
      </c>
      <c r="D258" s="311"/>
      <c r="E258" s="311"/>
      <c r="F258" s="311"/>
      <c r="G258" s="346"/>
      <c r="H258" s="346"/>
      <c r="I258" s="505"/>
      <c r="J258" s="345"/>
      <c r="K258" s="311"/>
      <c r="L258" s="311"/>
      <c r="M258" s="346"/>
      <c r="N258" s="346"/>
      <c r="O258" s="345"/>
      <c r="P258" s="346"/>
      <c r="Q258" s="346"/>
      <c r="R258" s="346"/>
      <c r="S258" s="346"/>
      <c r="T258" s="346"/>
    </row>
    <row r="259" spans="1:20" s="358" customFormat="1" ht="17.25" customHeight="1">
      <c r="A259" s="339"/>
      <c r="B259" s="308" t="s">
        <v>788</v>
      </c>
      <c r="C259" s="310" t="s">
        <v>94</v>
      </c>
      <c r="D259" s="311"/>
      <c r="E259" s="311"/>
      <c r="F259" s="311"/>
      <c r="G259" s="346"/>
      <c r="H259" s="346"/>
      <c r="I259" s="505"/>
      <c r="J259" s="345">
        <v>1</v>
      </c>
      <c r="K259" s="311">
        <v>2</v>
      </c>
      <c r="L259" s="311">
        <v>2</v>
      </c>
      <c r="M259" s="346">
        <v>3</v>
      </c>
      <c r="N259" s="346">
        <v>3</v>
      </c>
      <c r="O259" s="345">
        <v>5</v>
      </c>
      <c r="P259" s="346">
        <v>7</v>
      </c>
      <c r="Q259" s="346">
        <v>7</v>
      </c>
      <c r="R259" s="346">
        <v>9</v>
      </c>
      <c r="S259" s="346">
        <v>9</v>
      </c>
      <c r="T259" s="346">
        <v>12</v>
      </c>
    </row>
    <row r="260" spans="1:20" s="358" customFormat="1" ht="17.25" customHeight="1">
      <c r="A260" s="339"/>
      <c r="B260" s="308" t="s">
        <v>789</v>
      </c>
      <c r="C260" s="310" t="s">
        <v>94</v>
      </c>
      <c r="D260" s="311"/>
      <c r="E260" s="311"/>
      <c r="F260" s="311"/>
      <c r="G260" s="311"/>
      <c r="H260" s="311"/>
      <c r="I260" s="494"/>
      <c r="J260" s="345"/>
      <c r="K260" s="311"/>
      <c r="L260" s="311"/>
      <c r="M260" s="346"/>
      <c r="N260" s="346"/>
      <c r="O260" s="345"/>
      <c r="P260" s="346"/>
      <c r="Q260" s="346"/>
      <c r="R260" s="346"/>
      <c r="S260" s="346"/>
      <c r="T260" s="346"/>
    </row>
    <row r="261" spans="1:20" s="358" customFormat="1" ht="17.25" customHeight="1">
      <c r="A261" s="339"/>
      <c r="B261" s="328" t="s">
        <v>135</v>
      </c>
      <c r="C261" s="310" t="s">
        <v>94</v>
      </c>
      <c r="D261" s="311">
        <v>8</v>
      </c>
      <c r="E261" s="311">
        <v>14</v>
      </c>
      <c r="F261" s="311">
        <v>17</v>
      </c>
      <c r="G261" s="346">
        <v>19</v>
      </c>
      <c r="H261" s="346">
        <v>18</v>
      </c>
      <c r="I261" s="505">
        <v>20</v>
      </c>
      <c r="J261" s="345">
        <v>18</v>
      </c>
      <c r="K261" s="345">
        <v>25</v>
      </c>
      <c r="L261" s="345">
        <v>24</v>
      </c>
      <c r="M261" s="345">
        <v>23</v>
      </c>
      <c r="N261" s="346">
        <v>23</v>
      </c>
      <c r="O261" s="346">
        <v>21</v>
      </c>
      <c r="P261" s="346">
        <v>24</v>
      </c>
      <c r="Q261" s="346">
        <v>24</v>
      </c>
      <c r="R261" s="346">
        <v>22</v>
      </c>
      <c r="S261" s="346">
        <v>22</v>
      </c>
      <c r="T261" s="346">
        <v>19</v>
      </c>
    </row>
    <row r="262" spans="1:20" s="358" customFormat="1" ht="17.25" customHeight="1">
      <c r="A262" s="339"/>
      <c r="B262" s="328" t="s">
        <v>136</v>
      </c>
      <c r="C262" s="310" t="s">
        <v>94</v>
      </c>
      <c r="D262" s="311">
        <v>3</v>
      </c>
      <c r="E262" s="311">
        <v>3</v>
      </c>
      <c r="F262" s="311"/>
      <c r="G262" s="346"/>
      <c r="H262" s="346"/>
      <c r="I262" s="505">
        <v>2</v>
      </c>
      <c r="J262" s="345"/>
      <c r="K262" s="345">
        <v>1</v>
      </c>
      <c r="L262" s="345">
        <v>1</v>
      </c>
      <c r="M262" s="345"/>
      <c r="N262" s="346"/>
      <c r="O262" s="346"/>
      <c r="P262" s="346"/>
      <c r="Q262" s="346"/>
      <c r="R262" s="346"/>
      <c r="S262" s="346"/>
      <c r="T262" s="346"/>
    </row>
    <row r="263" spans="1:20" s="358" customFormat="1" ht="17.25" customHeight="1">
      <c r="A263" s="339"/>
      <c r="B263" s="328" t="s">
        <v>883</v>
      </c>
      <c r="C263" s="310" t="s">
        <v>94</v>
      </c>
      <c r="D263" s="311">
        <v>6</v>
      </c>
      <c r="E263" s="311">
        <v>6</v>
      </c>
      <c r="F263" s="311">
        <v>6</v>
      </c>
      <c r="G263" s="346">
        <v>6</v>
      </c>
      <c r="H263" s="346">
        <v>5</v>
      </c>
      <c r="I263" s="505">
        <v>2</v>
      </c>
      <c r="J263" s="345">
        <v>1</v>
      </c>
      <c r="K263" s="345">
        <v>1</v>
      </c>
      <c r="L263" s="345"/>
      <c r="M263" s="345"/>
      <c r="N263" s="346"/>
      <c r="O263" s="346"/>
      <c r="P263" s="346"/>
      <c r="Q263" s="346"/>
      <c r="R263" s="346"/>
      <c r="S263" s="346"/>
      <c r="T263" s="346"/>
    </row>
    <row r="264" spans="1:20" s="358" customFormat="1" ht="17.25" customHeight="1">
      <c r="A264" s="339"/>
      <c r="B264" s="332" t="s">
        <v>791</v>
      </c>
      <c r="C264" s="310" t="s">
        <v>94</v>
      </c>
      <c r="D264" s="344"/>
      <c r="E264" s="310"/>
      <c r="F264" s="310"/>
      <c r="G264" s="340"/>
      <c r="H264" s="340"/>
      <c r="I264" s="508"/>
      <c r="J264" s="345"/>
      <c r="K264" s="345"/>
      <c r="L264" s="345"/>
      <c r="M264" s="345"/>
      <c r="N264" s="346"/>
      <c r="O264" s="346"/>
      <c r="P264" s="346"/>
      <c r="Q264" s="346"/>
      <c r="R264" s="346"/>
      <c r="S264" s="346"/>
      <c r="T264" s="346"/>
    </row>
    <row r="265" spans="1:20" s="358" customFormat="1" ht="17.25" customHeight="1">
      <c r="A265" s="339"/>
      <c r="B265" s="332" t="s">
        <v>914</v>
      </c>
      <c r="C265" s="310"/>
      <c r="D265" s="344"/>
      <c r="E265" s="310"/>
      <c r="F265" s="310"/>
      <c r="G265" s="340"/>
      <c r="H265" s="340"/>
      <c r="I265" s="508"/>
      <c r="J265" s="345"/>
      <c r="K265" s="345"/>
      <c r="L265" s="345"/>
      <c r="M265" s="345"/>
      <c r="N265" s="346"/>
      <c r="O265" s="346"/>
      <c r="P265" s="346"/>
      <c r="Q265" s="346"/>
      <c r="R265" s="346"/>
      <c r="S265" s="346"/>
      <c r="T265" s="346"/>
    </row>
    <row r="266" spans="1:20" s="358" customFormat="1" ht="17.25" customHeight="1">
      <c r="A266" s="339"/>
      <c r="B266" s="308" t="s">
        <v>915</v>
      </c>
      <c r="C266" s="310" t="s">
        <v>94</v>
      </c>
      <c r="D266" s="344">
        <v>7</v>
      </c>
      <c r="E266" s="310">
        <v>13</v>
      </c>
      <c r="F266" s="310">
        <v>13</v>
      </c>
      <c r="G266" s="340">
        <v>14</v>
      </c>
      <c r="H266" s="340">
        <v>13</v>
      </c>
      <c r="I266" s="508">
        <v>14</v>
      </c>
      <c r="J266" s="345">
        <v>11</v>
      </c>
      <c r="K266" s="345">
        <v>20</v>
      </c>
      <c r="L266" s="345">
        <v>18</v>
      </c>
      <c r="M266" s="345">
        <v>17</v>
      </c>
      <c r="N266" s="346">
        <v>17</v>
      </c>
      <c r="O266" s="346">
        <v>17</v>
      </c>
      <c r="P266" s="346">
        <v>17</v>
      </c>
      <c r="Q266" s="346">
        <v>16</v>
      </c>
      <c r="R266" s="346">
        <v>16</v>
      </c>
      <c r="S266" s="346">
        <v>16</v>
      </c>
      <c r="T266" s="346">
        <v>16</v>
      </c>
    </row>
    <row r="267" spans="1:20" s="358" customFormat="1" ht="17.25" customHeight="1">
      <c r="A267" s="339"/>
      <c r="B267" s="308" t="s">
        <v>916</v>
      </c>
      <c r="C267" s="310" t="s">
        <v>94</v>
      </c>
      <c r="D267" s="344">
        <v>6</v>
      </c>
      <c r="E267" s="310">
        <v>6</v>
      </c>
      <c r="F267" s="310">
        <v>6</v>
      </c>
      <c r="G267" s="340">
        <v>6</v>
      </c>
      <c r="H267" s="340">
        <v>5</v>
      </c>
      <c r="I267" s="508">
        <v>5</v>
      </c>
      <c r="J267" s="345">
        <v>4</v>
      </c>
      <c r="K267" s="345">
        <v>4</v>
      </c>
      <c r="L267" s="345">
        <v>4</v>
      </c>
      <c r="M267" s="345">
        <v>4</v>
      </c>
      <c r="N267" s="346">
        <v>4</v>
      </c>
      <c r="O267" s="346">
        <v>4</v>
      </c>
      <c r="P267" s="346">
        <v>7</v>
      </c>
      <c r="Q267" s="346">
        <v>8</v>
      </c>
      <c r="R267" s="346">
        <v>8</v>
      </c>
      <c r="S267" s="346">
        <v>8</v>
      </c>
      <c r="T267" s="346">
        <v>8</v>
      </c>
    </row>
    <row r="268" spans="1:20" s="358" customFormat="1" ht="17.25" customHeight="1">
      <c r="A268" s="339"/>
      <c r="B268" s="308" t="s">
        <v>917</v>
      </c>
      <c r="C268" s="310" t="s">
        <v>94</v>
      </c>
      <c r="D268" s="344">
        <v>4</v>
      </c>
      <c r="E268" s="310">
        <v>4</v>
      </c>
      <c r="F268" s="310">
        <v>4</v>
      </c>
      <c r="G268" s="340">
        <v>5</v>
      </c>
      <c r="H268" s="340">
        <v>5</v>
      </c>
      <c r="I268" s="508">
        <v>5</v>
      </c>
      <c r="J268" s="345">
        <v>5</v>
      </c>
      <c r="K268" s="345">
        <v>5</v>
      </c>
      <c r="L268" s="345">
        <v>5</v>
      </c>
      <c r="M268" s="345">
        <v>5</v>
      </c>
      <c r="N268" s="346">
        <v>5</v>
      </c>
      <c r="O268" s="346">
        <v>5</v>
      </c>
      <c r="P268" s="346">
        <v>7</v>
      </c>
      <c r="Q268" s="346">
        <v>7</v>
      </c>
      <c r="R268" s="346">
        <v>7</v>
      </c>
      <c r="S268" s="346">
        <v>7</v>
      </c>
      <c r="T268" s="346">
        <v>7</v>
      </c>
    </row>
    <row r="269" spans="1:20" s="358" customFormat="1" ht="17.25" customHeight="1">
      <c r="A269" s="339"/>
      <c r="B269" s="441" t="s">
        <v>918</v>
      </c>
      <c r="C269" s="310" t="s">
        <v>94</v>
      </c>
      <c r="D269" s="306">
        <v>14</v>
      </c>
      <c r="E269" s="306">
        <v>10</v>
      </c>
      <c r="F269" s="306">
        <v>11</v>
      </c>
      <c r="G269" s="350">
        <v>12</v>
      </c>
      <c r="H269" s="350">
        <v>12</v>
      </c>
      <c r="I269" s="517">
        <v>12</v>
      </c>
      <c r="J269" s="442">
        <v>12</v>
      </c>
      <c r="K269" s="442">
        <v>13</v>
      </c>
      <c r="L269" s="442">
        <v>13</v>
      </c>
      <c r="M269" s="442">
        <v>13</v>
      </c>
      <c r="N269" s="443">
        <v>13</v>
      </c>
      <c r="O269" s="443">
        <v>13</v>
      </c>
      <c r="P269" s="443">
        <v>13</v>
      </c>
      <c r="Q269" s="443">
        <v>13</v>
      </c>
      <c r="R269" s="443">
        <v>13</v>
      </c>
      <c r="S269" s="443">
        <v>13</v>
      </c>
      <c r="T269" s="443">
        <v>13</v>
      </c>
    </row>
    <row r="270" spans="1:20" s="358" customFormat="1" ht="17.25" customHeight="1">
      <c r="A270" s="339"/>
      <c r="B270" s="332" t="s">
        <v>919</v>
      </c>
      <c r="C270" s="310"/>
      <c r="D270" s="310"/>
      <c r="E270" s="310"/>
      <c r="F270" s="310"/>
      <c r="G270" s="340"/>
      <c r="H270" s="340"/>
      <c r="I270" s="508"/>
      <c r="J270" s="345"/>
      <c r="K270" s="345"/>
      <c r="L270" s="345"/>
      <c r="M270" s="345"/>
      <c r="N270" s="346"/>
      <c r="O270" s="346"/>
      <c r="P270" s="346"/>
      <c r="Q270" s="346"/>
      <c r="R270" s="346"/>
      <c r="S270" s="346"/>
      <c r="T270" s="346"/>
    </row>
    <row r="271" spans="1:20" s="358" customFormat="1" ht="17.25" customHeight="1">
      <c r="A271" s="339"/>
      <c r="B271" s="332" t="s">
        <v>844</v>
      </c>
      <c r="C271" s="310" t="s">
        <v>94</v>
      </c>
      <c r="D271" s="310">
        <v>4</v>
      </c>
      <c r="E271" s="310">
        <v>4</v>
      </c>
      <c r="F271" s="310">
        <v>4</v>
      </c>
      <c r="G271" s="340">
        <v>4</v>
      </c>
      <c r="H271" s="340">
        <v>4</v>
      </c>
      <c r="I271" s="508">
        <v>4</v>
      </c>
      <c r="J271" s="345">
        <v>4</v>
      </c>
      <c r="K271" s="345">
        <v>4</v>
      </c>
      <c r="L271" s="345">
        <v>4</v>
      </c>
      <c r="M271" s="345">
        <v>4</v>
      </c>
      <c r="N271" s="346">
        <v>4</v>
      </c>
      <c r="O271" s="346">
        <v>4</v>
      </c>
      <c r="P271" s="346">
        <v>4</v>
      </c>
      <c r="Q271" s="346">
        <v>4</v>
      </c>
      <c r="R271" s="346">
        <v>4</v>
      </c>
      <c r="S271" s="346">
        <v>4</v>
      </c>
      <c r="T271" s="346">
        <v>4</v>
      </c>
    </row>
    <row r="272" spans="1:20" s="358" customFormat="1" ht="17.25" customHeight="1">
      <c r="A272" s="339"/>
      <c r="B272" s="349" t="s">
        <v>138</v>
      </c>
      <c r="C272" s="310" t="s">
        <v>94</v>
      </c>
      <c r="D272" s="310">
        <v>1</v>
      </c>
      <c r="E272" s="310">
        <v>1</v>
      </c>
      <c r="F272" s="310">
        <v>1</v>
      </c>
      <c r="G272" s="340">
        <v>1</v>
      </c>
      <c r="H272" s="340">
        <v>1</v>
      </c>
      <c r="I272" s="508">
        <v>1</v>
      </c>
      <c r="J272" s="345">
        <v>1</v>
      </c>
      <c r="K272" s="345">
        <v>1</v>
      </c>
      <c r="L272" s="345">
        <v>1</v>
      </c>
      <c r="M272" s="345">
        <v>1</v>
      </c>
      <c r="N272" s="346">
        <v>1</v>
      </c>
      <c r="O272" s="346">
        <v>1</v>
      </c>
      <c r="P272" s="346">
        <v>1</v>
      </c>
      <c r="Q272" s="346">
        <v>1</v>
      </c>
      <c r="R272" s="346">
        <v>1</v>
      </c>
      <c r="S272" s="346">
        <v>1</v>
      </c>
      <c r="T272" s="346">
        <v>1</v>
      </c>
    </row>
    <row r="273" spans="1:26" s="358" customFormat="1" ht="17.25" customHeight="1">
      <c r="A273" s="339"/>
      <c r="B273" s="349" t="s">
        <v>139</v>
      </c>
      <c r="C273" s="310" t="s">
        <v>94</v>
      </c>
      <c r="D273" s="310">
        <v>1</v>
      </c>
      <c r="E273" s="310">
        <v>1</v>
      </c>
      <c r="F273" s="310">
        <v>1</v>
      </c>
      <c r="G273" s="340">
        <v>1</v>
      </c>
      <c r="H273" s="340">
        <v>1</v>
      </c>
      <c r="I273" s="508">
        <v>1</v>
      </c>
      <c r="J273" s="345">
        <v>1</v>
      </c>
      <c r="K273" s="345">
        <v>1</v>
      </c>
      <c r="L273" s="345">
        <v>1</v>
      </c>
      <c r="M273" s="345">
        <v>1</v>
      </c>
      <c r="N273" s="346">
        <v>1</v>
      </c>
      <c r="O273" s="346">
        <v>1</v>
      </c>
      <c r="P273" s="346">
        <v>1</v>
      </c>
      <c r="Q273" s="346">
        <v>1</v>
      </c>
      <c r="R273" s="346">
        <v>1</v>
      </c>
      <c r="S273" s="346">
        <v>1</v>
      </c>
      <c r="T273" s="346">
        <v>1</v>
      </c>
    </row>
    <row r="274" spans="1:26" s="358" customFormat="1" ht="17.25" customHeight="1">
      <c r="A274" s="339"/>
      <c r="B274" s="349" t="s">
        <v>140</v>
      </c>
      <c r="C274" s="310" t="s">
        <v>94</v>
      </c>
      <c r="D274" s="310"/>
      <c r="E274" s="310"/>
      <c r="F274" s="310"/>
      <c r="G274" s="340"/>
      <c r="H274" s="340"/>
      <c r="I274" s="508"/>
      <c r="J274" s="345"/>
      <c r="K274" s="345"/>
      <c r="L274" s="345"/>
      <c r="M274" s="345"/>
      <c r="N274" s="346"/>
      <c r="O274" s="346"/>
      <c r="P274" s="346"/>
      <c r="Q274" s="346"/>
      <c r="R274" s="346"/>
      <c r="S274" s="346"/>
      <c r="T274" s="346"/>
    </row>
    <row r="275" spans="1:26" s="358" customFormat="1" ht="17.25" customHeight="1">
      <c r="A275" s="339"/>
      <c r="B275" s="349" t="s">
        <v>141</v>
      </c>
      <c r="C275" s="310" t="s">
        <v>94</v>
      </c>
      <c r="D275" s="310">
        <v>2</v>
      </c>
      <c r="E275" s="310">
        <v>1</v>
      </c>
      <c r="F275" s="310">
        <v>1</v>
      </c>
      <c r="G275" s="340">
        <v>2</v>
      </c>
      <c r="H275" s="340">
        <v>2</v>
      </c>
      <c r="I275" s="508">
        <v>2</v>
      </c>
      <c r="J275" s="345">
        <v>2</v>
      </c>
      <c r="K275" s="345">
        <v>2</v>
      </c>
      <c r="L275" s="345">
        <v>2</v>
      </c>
      <c r="M275" s="345">
        <v>2</v>
      </c>
      <c r="N275" s="346">
        <v>2</v>
      </c>
      <c r="O275" s="346">
        <v>2</v>
      </c>
      <c r="P275" s="346">
        <v>2</v>
      </c>
      <c r="Q275" s="346">
        <v>2</v>
      </c>
      <c r="R275" s="346">
        <v>2</v>
      </c>
      <c r="S275" s="346">
        <v>2</v>
      </c>
      <c r="T275" s="346">
        <v>2</v>
      </c>
    </row>
    <row r="276" spans="1:26" s="358" customFormat="1" ht="17.25" customHeight="1">
      <c r="A276" s="339"/>
      <c r="B276" s="349" t="s">
        <v>142</v>
      </c>
      <c r="C276" s="310" t="s">
        <v>94</v>
      </c>
      <c r="D276" s="310">
        <v>2</v>
      </c>
      <c r="E276" s="310">
        <v>2</v>
      </c>
      <c r="F276" s="310">
        <v>2</v>
      </c>
      <c r="G276" s="340">
        <v>2</v>
      </c>
      <c r="H276" s="340">
        <v>2</v>
      </c>
      <c r="I276" s="508">
        <v>2</v>
      </c>
      <c r="J276" s="345">
        <v>2</v>
      </c>
      <c r="K276" s="345">
        <v>2</v>
      </c>
      <c r="L276" s="345">
        <v>2</v>
      </c>
      <c r="M276" s="345">
        <v>2</v>
      </c>
      <c r="N276" s="346">
        <v>2</v>
      </c>
      <c r="O276" s="346">
        <v>2</v>
      </c>
      <c r="P276" s="346">
        <v>2</v>
      </c>
      <c r="Q276" s="346">
        <v>2</v>
      </c>
      <c r="R276" s="346">
        <v>2</v>
      </c>
      <c r="S276" s="346">
        <v>2</v>
      </c>
      <c r="T276" s="346">
        <v>2</v>
      </c>
    </row>
    <row r="277" spans="1:26" s="358" customFormat="1" ht="17.25" customHeight="1">
      <c r="A277" s="339"/>
      <c r="B277" s="349" t="s">
        <v>143</v>
      </c>
      <c r="C277" s="310" t="s">
        <v>94</v>
      </c>
      <c r="D277" s="310">
        <v>4</v>
      </c>
      <c r="E277" s="310">
        <v>1</v>
      </c>
      <c r="F277" s="310">
        <v>2</v>
      </c>
      <c r="G277" s="340">
        <v>2</v>
      </c>
      <c r="H277" s="340">
        <v>2</v>
      </c>
      <c r="I277" s="508">
        <v>2</v>
      </c>
      <c r="J277" s="345">
        <v>2</v>
      </c>
      <c r="K277" s="345">
        <v>3</v>
      </c>
      <c r="L277" s="345">
        <v>3</v>
      </c>
      <c r="M277" s="345">
        <v>3</v>
      </c>
      <c r="N277" s="346">
        <v>3</v>
      </c>
      <c r="O277" s="346">
        <v>3</v>
      </c>
      <c r="P277" s="346">
        <v>3</v>
      </c>
      <c r="Q277" s="346">
        <v>3</v>
      </c>
      <c r="R277" s="346">
        <v>3</v>
      </c>
      <c r="S277" s="346">
        <v>3</v>
      </c>
      <c r="T277" s="346">
        <v>3</v>
      </c>
    </row>
    <row r="278" spans="1:26" s="358" customFormat="1" ht="17.25" customHeight="1">
      <c r="A278" s="438">
        <v>4</v>
      </c>
      <c r="B278" s="313" t="s">
        <v>920</v>
      </c>
      <c r="C278" s="310"/>
      <c r="D278" s="360">
        <f t="shared" ref="D278:T278" si="34">D279+D284+D302</f>
        <v>144</v>
      </c>
      <c r="E278" s="360">
        <f t="shared" si="34"/>
        <v>147</v>
      </c>
      <c r="F278" s="360">
        <f t="shared" si="34"/>
        <v>147</v>
      </c>
      <c r="G278" s="360">
        <f t="shared" si="34"/>
        <v>148</v>
      </c>
      <c r="H278" s="360">
        <f t="shared" si="34"/>
        <v>142</v>
      </c>
      <c r="I278" s="501">
        <f t="shared" si="34"/>
        <v>139</v>
      </c>
      <c r="J278" s="360">
        <f t="shared" si="34"/>
        <v>146</v>
      </c>
      <c r="K278" s="360">
        <f t="shared" si="34"/>
        <v>128</v>
      </c>
      <c r="L278" s="360">
        <f t="shared" si="34"/>
        <v>134</v>
      </c>
      <c r="M278" s="360">
        <f t="shared" si="34"/>
        <v>148</v>
      </c>
      <c r="N278" s="360">
        <f t="shared" si="34"/>
        <v>148</v>
      </c>
      <c r="O278" s="360">
        <f t="shared" si="34"/>
        <v>148</v>
      </c>
      <c r="P278" s="360">
        <f t="shared" si="34"/>
        <v>150</v>
      </c>
      <c r="Q278" s="360">
        <f t="shared" si="34"/>
        <v>155</v>
      </c>
      <c r="R278" s="360">
        <f t="shared" si="34"/>
        <v>160</v>
      </c>
      <c r="S278" s="360">
        <f t="shared" si="34"/>
        <v>164</v>
      </c>
      <c r="T278" s="360">
        <f t="shared" si="34"/>
        <v>165</v>
      </c>
      <c r="U278" s="801"/>
      <c r="V278" s="801"/>
      <c r="W278" s="801"/>
      <c r="X278" s="801"/>
      <c r="Y278" s="801"/>
      <c r="Z278" s="801"/>
    </row>
    <row r="279" spans="1:26" s="358" customFormat="1" ht="17.25" customHeight="1">
      <c r="A279" s="339"/>
      <c r="B279" s="326" t="s">
        <v>758</v>
      </c>
      <c r="C279" s="310" t="s">
        <v>94</v>
      </c>
      <c r="D279" s="360">
        <f>SUM(D281:D283)</f>
        <v>14</v>
      </c>
      <c r="E279" s="360">
        <f t="shared" ref="E279:T279" si="35">SUM(E281:E283)</f>
        <v>19</v>
      </c>
      <c r="F279" s="360">
        <f t="shared" si="35"/>
        <v>18</v>
      </c>
      <c r="G279" s="360">
        <f t="shared" si="35"/>
        <v>20</v>
      </c>
      <c r="H279" s="360">
        <f t="shared" si="35"/>
        <v>19</v>
      </c>
      <c r="I279" s="501">
        <f t="shared" si="35"/>
        <v>20</v>
      </c>
      <c r="J279" s="360">
        <f t="shared" si="35"/>
        <v>21</v>
      </c>
      <c r="K279" s="360">
        <f t="shared" si="35"/>
        <v>21</v>
      </c>
      <c r="L279" s="360">
        <f t="shared" si="35"/>
        <v>21</v>
      </c>
      <c r="M279" s="360">
        <f t="shared" si="35"/>
        <v>21</v>
      </c>
      <c r="N279" s="360">
        <f t="shared" si="35"/>
        <v>21</v>
      </c>
      <c r="O279" s="360">
        <f t="shared" si="35"/>
        <v>21</v>
      </c>
      <c r="P279" s="360">
        <f t="shared" si="35"/>
        <v>21</v>
      </c>
      <c r="Q279" s="360">
        <f t="shared" si="35"/>
        <v>21</v>
      </c>
      <c r="R279" s="360">
        <f t="shared" si="35"/>
        <v>21</v>
      </c>
      <c r="S279" s="360">
        <f t="shared" si="35"/>
        <v>21</v>
      </c>
      <c r="T279" s="360">
        <f t="shared" si="35"/>
        <v>21</v>
      </c>
      <c r="U279" s="802"/>
      <c r="V279" s="802"/>
      <c r="W279" s="802"/>
      <c r="X279" s="802"/>
      <c r="Y279" s="802"/>
      <c r="Z279" s="802"/>
    </row>
    <row r="280" spans="1:26" s="358" customFormat="1" ht="17.25" customHeight="1">
      <c r="A280" s="339"/>
      <c r="B280" s="308" t="s">
        <v>786</v>
      </c>
      <c r="C280" s="310"/>
      <c r="D280" s="360"/>
      <c r="E280" s="360"/>
      <c r="F280" s="360"/>
      <c r="G280" s="439"/>
      <c r="H280" s="439"/>
      <c r="I280" s="522"/>
      <c r="J280" s="439"/>
      <c r="K280" s="360"/>
      <c r="L280" s="360"/>
      <c r="M280" s="439"/>
      <c r="N280" s="439"/>
      <c r="O280" s="345"/>
      <c r="P280" s="347"/>
      <c r="Q280" s="347"/>
      <c r="R280" s="347"/>
      <c r="S280" s="347"/>
      <c r="T280" s="347"/>
      <c r="U280" s="444"/>
      <c r="V280" s="293"/>
      <c r="W280" s="444"/>
      <c r="X280" s="444"/>
      <c r="Y280" s="444"/>
      <c r="Z280" s="444"/>
    </row>
    <row r="281" spans="1:26" s="358" customFormat="1" ht="17.25" customHeight="1">
      <c r="A281" s="339"/>
      <c r="B281" s="328" t="s">
        <v>787</v>
      </c>
      <c r="C281" s="310" t="s">
        <v>94</v>
      </c>
      <c r="D281" s="345"/>
      <c r="E281" s="345"/>
      <c r="F281" s="345"/>
      <c r="G281" s="345"/>
      <c r="H281" s="345"/>
      <c r="I281" s="521"/>
      <c r="J281" s="439"/>
      <c r="K281" s="360"/>
      <c r="L281" s="311"/>
      <c r="M281" s="347"/>
      <c r="N281" s="347"/>
      <c r="O281" s="345"/>
      <c r="P281" s="347"/>
      <c r="Q281" s="347"/>
      <c r="R281" s="347"/>
      <c r="S281" s="347"/>
      <c r="T281" s="347"/>
      <c r="U281" s="445"/>
      <c r="V281" s="446"/>
      <c r="W281" s="446"/>
      <c r="X281" s="446"/>
      <c r="Y281" s="446"/>
      <c r="Z281" s="446"/>
    </row>
    <row r="282" spans="1:26" s="358" customFormat="1" ht="17.25" customHeight="1">
      <c r="A282" s="339"/>
      <c r="B282" s="308" t="s">
        <v>788</v>
      </c>
      <c r="C282" s="310" t="s">
        <v>94</v>
      </c>
      <c r="D282" s="345">
        <v>2</v>
      </c>
      <c r="E282" s="345">
        <v>3</v>
      </c>
      <c r="F282" s="345">
        <v>7</v>
      </c>
      <c r="G282" s="345">
        <v>8</v>
      </c>
      <c r="H282" s="345">
        <v>8</v>
      </c>
      <c r="I282" s="521">
        <v>7</v>
      </c>
      <c r="J282" s="345">
        <v>8</v>
      </c>
      <c r="K282" s="345">
        <v>8</v>
      </c>
      <c r="L282" s="345">
        <v>8</v>
      </c>
      <c r="M282" s="345">
        <v>8</v>
      </c>
      <c r="N282" s="345">
        <v>8</v>
      </c>
      <c r="O282" s="345">
        <v>8</v>
      </c>
      <c r="P282" s="345">
        <v>8</v>
      </c>
      <c r="Q282" s="345">
        <v>8</v>
      </c>
      <c r="R282" s="345">
        <v>8</v>
      </c>
      <c r="S282" s="345">
        <v>8</v>
      </c>
      <c r="T282" s="345">
        <v>8</v>
      </c>
      <c r="U282" s="446"/>
      <c r="V282" s="446"/>
      <c r="W282" s="446"/>
      <c r="X282" s="446"/>
      <c r="Y282" s="446"/>
      <c r="Z282" s="446"/>
    </row>
    <row r="283" spans="1:26" s="358" customFormat="1" ht="17.25" customHeight="1">
      <c r="A283" s="339"/>
      <c r="B283" s="328" t="s">
        <v>135</v>
      </c>
      <c r="C283" s="310" t="s">
        <v>94</v>
      </c>
      <c r="D283" s="345">
        <v>12</v>
      </c>
      <c r="E283" s="345">
        <v>16</v>
      </c>
      <c r="F283" s="345">
        <v>11</v>
      </c>
      <c r="G283" s="345">
        <v>12</v>
      </c>
      <c r="H283" s="345">
        <v>11</v>
      </c>
      <c r="I283" s="521">
        <v>13</v>
      </c>
      <c r="J283" s="345">
        <v>13</v>
      </c>
      <c r="K283" s="345">
        <v>13</v>
      </c>
      <c r="L283" s="345">
        <v>13</v>
      </c>
      <c r="M283" s="345">
        <v>13</v>
      </c>
      <c r="N283" s="345">
        <v>13</v>
      </c>
      <c r="O283" s="345">
        <v>13</v>
      </c>
      <c r="P283" s="345">
        <v>13</v>
      </c>
      <c r="Q283" s="345">
        <v>13</v>
      </c>
      <c r="R283" s="345">
        <v>13</v>
      </c>
      <c r="S283" s="345">
        <v>13</v>
      </c>
      <c r="T283" s="345">
        <v>13</v>
      </c>
      <c r="U283" s="446"/>
      <c r="V283" s="446"/>
      <c r="W283" s="446"/>
      <c r="X283" s="446"/>
      <c r="Y283" s="446"/>
      <c r="Z283" s="446"/>
    </row>
    <row r="284" spans="1:26" s="358" customFormat="1" ht="17.25" customHeight="1">
      <c r="A284" s="339"/>
      <c r="B284" s="330" t="s">
        <v>790</v>
      </c>
      <c r="C284" s="310" t="s">
        <v>94</v>
      </c>
      <c r="D284" s="442">
        <f>SUM(D285:D290)</f>
        <v>97</v>
      </c>
      <c r="E284" s="442">
        <f>SUM(E285:E290)</f>
        <v>103</v>
      </c>
      <c r="F284" s="442">
        <f t="shared" ref="F284:T284" si="36">SUM(F285:F290)</f>
        <v>104</v>
      </c>
      <c r="G284" s="442">
        <f t="shared" si="36"/>
        <v>92</v>
      </c>
      <c r="H284" s="442">
        <f t="shared" si="36"/>
        <v>94</v>
      </c>
      <c r="I284" s="523">
        <f t="shared" si="36"/>
        <v>90</v>
      </c>
      <c r="J284" s="442">
        <f t="shared" si="36"/>
        <v>93</v>
      </c>
      <c r="K284" s="442">
        <f t="shared" si="36"/>
        <v>83</v>
      </c>
      <c r="L284" s="442">
        <f t="shared" si="36"/>
        <v>89</v>
      </c>
      <c r="M284" s="442">
        <f t="shared" si="36"/>
        <v>103</v>
      </c>
      <c r="N284" s="442">
        <f t="shared" si="36"/>
        <v>103</v>
      </c>
      <c r="O284" s="442">
        <f t="shared" si="36"/>
        <v>103</v>
      </c>
      <c r="P284" s="442">
        <f t="shared" si="36"/>
        <v>105</v>
      </c>
      <c r="Q284" s="442">
        <f t="shared" si="36"/>
        <v>110</v>
      </c>
      <c r="R284" s="442">
        <f t="shared" si="36"/>
        <v>115</v>
      </c>
      <c r="S284" s="442">
        <f t="shared" si="36"/>
        <v>119</v>
      </c>
      <c r="T284" s="442">
        <f t="shared" si="36"/>
        <v>120</v>
      </c>
      <c r="U284" s="399"/>
      <c r="V284" s="399"/>
      <c r="W284" s="399"/>
      <c r="X284" s="399"/>
      <c r="Y284" s="399"/>
      <c r="Z284" s="399"/>
    </row>
    <row r="285" spans="1:26" s="358" customFormat="1" ht="17.25" customHeight="1">
      <c r="A285" s="339"/>
      <c r="B285" s="329" t="s">
        <v>921</v>
      </c>
      <c r="C285" s="310"/>
      <c r="D285" s="311"/>
      <c r="E285" s="311"/>
      <c r="F285" s="311"/>
      <c r="G285" s="347"/>
      <c r="H285" s="347"/>
      <c r="I285" s="505"/>
      <c r="J285" s="347"/>
      <c r="K285" s="311"/>
      <c r="L285" s="311"/>
      <c r="M285" s="347"/>
      <c r="N285" s="347"/>
      <c r="O285" s="345"/>
      <c r="P285" s="347"/>
      <c r="Q285" s="347"/>
      <c r="R285" s="347"/>
      <c r="S285" s="347"/>
      <c r="T285" s="347"/>
      <c r="U285" s="399"/>
      <c r="V285" s="399"/>
      <c r="W285" s="399"/>
      <c r="X285" s="399"/>
      <c r="Y285" s="399"/>
      <c r="Z285" s="399"/>
    </row>
    <row r="286" spans="1:26" s="358" customFormat="1" ht="17.25" customHeight="1">
      <c r="A286" s="339"/>
      <c r="B286" s="328" t="s">
        <v>787</v>
      </c>
      <c r="C286" s="310" t="s">
        <v>94</v>
      </c>
      <c r="D286" s="311"/>
      <c r="E286" s="311"/>
      <c r="F286" s="311"/>
      <c r="G286" s="347"/>
      <c r="H286" s="347"/>
      <c r="I286" s="505"/>
      <c r="J286" s="347"/>
      <c r="K286" s="345"/>
      <c r="L286" s="311"/>
      <c r="M286" s="347"/>
      <c r="N286" s="311"/>
      <c r="O286" s="345"/>
      <c r="P286" s="347"/>
      <c r="Q286" s="347"/>
      <c r="R286" s="347"/>
      <c r="S286" s="347"/>
      <c r="T286" s="347"/>
    </row>
    <row r="287" spans="1:26" s="358" customFormat="1" ht="17.25" customHeight="1">
      <c r="A287" s="339"/>
      <c r="B287" s="308" t="s">
        <v>788</v>
      </c>
      <c r="C287" s="310" t="s">
        <v>94</v>
      </c>
      <c r="D287" s="311">
        <v>3</v>
      </c>
      <c r="E287" s="311">
        <v>2</v>
      </c>
      <c r="F287" s="311">
        <v>1</v>
      </c>
      <c r="G287" s="347"/>
      <c r="H287" s="347"/>
      <c r="I287" s="505">
        <v>4</v>
      </c>
      <c r="J287" s="347">
        <v>10</v>
      </c>
      <c r="K287" s="345">
        <v>14</v>
      </c>
      <c r="L287" s="311">
        <v>14</v>
      </c>
      <c r="M287" s="347">
        <v>19</v>
      </c>
      <c r="N287" s="447">
        <v>19</v>
      </c>
      <c r="O287" s="440">
        <v>19</v>
      </c>
      <c r="P287" s="347">
        <v>20</v>
      </c>
      <c r="Q287" s="347">
        <v>23</v>
      </c>
      <c r="R287" s="347">
        <v>25</v>
      </c>
      <c r="S287" s="347">
        <v>26</v>
      </c>
      <c r="T287" s="347">
        <v>26</v>
      </c>
    </row>
    <row r="288" spans="1:26" s="358" customFormat="1" ht="17.25" customHeight="1">
      <c r="A288" s="339"/>
      <c r="B288" s="328" t="s">
        <v>135</v>
      </c>
      <c r="C288" s="310" t="s">
        <v>94</v>
      </c>
      <c r="D288" s="311">
        <v>56</v>
      </c>
      <c r="E288" s="311">
        <v>62</v>
      </c>
      <c r="F288" s="311">
        <v>74</v>
      </c>
      <c r="G288" s="347">
        <v>69</v>
      </c>
      <c r="H288" s="347">
        <v>71</v>
      </c>
      <c r="I288" s="505">
        <v>70</v>
      </c>
      <c r="J288" s="347">
        <v>66</v>
      </c>
      <c r="K288" s="311">
        <v>49</v>
      </c>
      <c r="L288" s="311">
        <v>55</v>
      </c>
      <c r="M288" s="347">
        <v>64</v>
      </c>
      <c r="N288" s="347">
        <v>64</v>
      </c>
      <c r="O288" s="347">
        <v>64</v>
      </c>
      <c r="P288" s="347">
        <v>65</v>
      </c>
      <c r="Q288" s="347">
        <v>67</v>
      </c>
      <c r="R288" s="347">
        <v>70</v>
      </c>
      <c r="S288" s="347">
        <v>73</v>
      </c>
      <c r="T288" s="347">
        <v>74</v>
      </c>
    </row>
    <row r="289" spans="1:20" s="358" customFormat="1" ht="17.25" customHeight="1">
      <c r="A289" s="339"/>
      <c r="B289" s="328" t="s">
        <v>136</v>
      </c>
      <c r="C289" s="310" t="s">
        <v>94</v>
      </c>
      <c r="D289" s="311">
        <v>8</v>
      </c>
      <c r="E289" s="311">
        <v>10</v>
      </c>
      <c r="F289" s="311">
        <v>5</v>
      </c>
      <c r="G289" s="347">
        <v>3</v>
      </c>
      <c r="H289" s="347">
        <v>3</v>
      </c>
      <c r="I289" s="505"/>
      <c r="J289" s="347"/>
      <c r="K289" s="311"/>
      <c r="L289" s="311"/>
      <c r="M289" s="347"/>
      <c r="N289" s="347"/>
      <c r="O289" s="345"/>
      <c r="P289" s="347"/>
      <c r="Q289" s="347"/>
      <c r="R289" s="347"/>
      <c r="S289" s="347"/>
      <c r="T289" s="347"/>
    </row>
    <row r="290" spans="1:20" s="358" customFormat="1" ht="17.25" customHeight="1">
      <c r="A290" s="339"/>
      <c r="B290" s="328" t="s">
        <v>883</v>
      </c>
      <c r="C290" s="310" t="s">
        <v>94</v>
      </c>
      <c r="D290" s="311">
        <v>30</v>
      </c>
      <c r="E290" s="311">
        <v>29</v>
      </c>
      <c r="F290" s="311">
        <v>24</v>
      </c>
      <c r="G290" s="347">
        <v>20</v>
      </c>
      <c r="H290" s="347">
        <v>20</v>
      </c>
      <c r="I290" s="505">
        <v>16</v>
      </c>
      <c r="J290" s="347">
        <v>17</v>
      </c>
      <c r="K290" s="311">
        <v>20</v>
      </c>
      <c r="L290" s="311">
        <v>20</v>
      </c>
      <c r="M290" s="311">
        <v>20</v>
      </c>
      <c r="N290" s="311">
        <v>20</v>
      </c>
      <c r="O290" s="311">
        <v>20</v>
      </c>
      <c r="P290" s="311">
        <v>20</v>
      </c>
      <c r="Q290" s="311">
        <v>20</v>
      </c>
      <c r="R290" s="311">
        <v>20</v>
      </c>
      <c r="S290" s="311">
        <v>20</v>
      </c>
      <c r="T290" s="311">
        <v>20</v>
      </c>
    </row>
    <row r="291" spans="1:20" s="358" customFormat="1" ht="17.25" customHeight="1">
      <c r="A291" s="339"/>
      <c r="B291" s="332" t="s">
        <v>791</v>
      </c>
      <c r="C291" s="310"/>
      <c r="D291" s="311">
        <f t="shared" ref="D291:T291" si="37">SUM(D292:D301)</f>
        <v>97</v>
      </c>
      <c r="E291" s="311">
        <f t="shared" si="37"/>
        <v>103</v>
      </c>
      <c r="F291" s="311">
        <f t="shared" si="37"/>
        <v>104</v>
      </c>
      <c r="G291" s="311">
        <f t="shared" si="37"/>
        <v>92</v>
      </c>
      <c r="H291" s="311">
        <f t="shared" si="37"/>
        <v>94</v>
      </c>
      <c r="I291" s="494">
        <f t="shared" si="37"/>
        <v>85</v>
      </c>
      <c r="J291" s="311">
        <f t="shared" si="37"/>
        <v>87</v>
      </c>
      <c r="K291" s="311">
        <f t="shared" si="37"/>
        <v>83</v>
      </c>
      <c r="L291" s="311">
        <f t="shared" si="37"/>
        <v>89</v>
      </c>
      <c r="M291" s="311">
        <f t="shared" si="37"/>
        <v>103</v>
      </c>
      <c r="N291" s="311">
        <f t="shared" si="37"/>
        <v>103</v>
      </c>
      <c r="O291" s="311">
        <f t="shared" si="37"/>
        <v>103</v>
      </c>
      <c r="P291" s="311">
        <f t="shared" si="37"/>
        <v>105</v>
      </c>
      <c r="Q291" s="311">
        <f t="shared" si="37"/>
        <v>110</v>
      </c>
      <c r="R291" s="311">
        <f t="shared" si="37"/>
        <v>115</v>
      </c>
      <c r="S291" s="311">
        <f t="shared" si="37"/>
        <v>119</v>
      </c>
      <c r="T291" s="311">
        <f t="shared" si="37"/>
        <v>120</v>
      </c>
    </row>
    <row r="292" spans="1:20" s="358" customFormat="1" ht="17.25" customHeight="1">
      <c r="A292" s="339"/>
      <c r="B292" s="332" t="s">
        <v>922</v>
      </c>
      <c r="C292" s="310" t="s">
        <v>94</v>
      </c>
      <c r="D292" s="311">
        <v>16</v>
      </c>
      <c r="E292" s="311">
        <v>16</v>
      </c>
      <c r="F292" s="311">
        <v>16</v>
      </c>
      <c r="G292" s="347">
        <v>16</v>
      </c>
      <c r="H292" s="347">
        <v>16</v>
      </c>
      <c r="I292" s="505">
        <v>16</v>
      </c>
      <c r="J292" s="347">
        <v>16</v>
      </c>
      <c r="K292" s="311">
        <v>15</v>
      </c>
      <c r="L292" s="311">
        <v>15</v>
      </c>
      <c r="M292" s="311">
        <v>15</v>
      </c>
      <c r="N292" s="311">
        <v>15</v>
      </c>
      <c r="O292" s="311">
        <v>15</v>
      </c>
      <c r="P292" s="311">
        <v>15</v>
      </c>
      <c r="Q292" s="311">
        <v>15</v>
      </c>
      <c r="R292" s="311">
        <v>16</v>
      </c>
      <c r="S292" s="311">
        <v>16</v>
      </c>
      <c r="T292" s="311">
        <v>16</v>
      </c>
    </row>
    <row r="293" spans="1:20" s="358" customFormat="1" ht="17.25" customHeight="1">
      <c r="A293" s="339"/>
      <c r="B293" s="308" t="s">
        <v>923</v>
      </c>
      <c r="C293" s="310" t="s">
        <v>94</v>
      </c>
      <c r="D293" s="311">
        <v>11</v>
      </c>
      <c r="E293" s="311">
        <v>9</v>
      </c>
      <c r="F293" s="311">
        <v>9</v>
      </c>
      <c r="G293" s="347">
        <v>5</v>
      </c>
      <c r="H293" s="347">
        <v>9</v>
      </c>
      <c r="I293" s="505">
        <v>9</v>
      </c>
      <c r="J293" s="347">
        <v>8</v>
      </c>
      <c r="K293" s="311">
        <v>9</v>
      </c>
      <c r="L293" s="311">
        <v>10</v>
      </c>
      <c r="M293" s="311">
        <v>13</v>
      </c>
      <c r="N293" s="311">
        <v>13</v>
      </c>
      <c r="O293" s="311">
        <v>13</v>
      </c>
      <c r="P293" s="311">
        <v>13</v>
      </c>
      <c r="Q293" s="311">
        <v>14</v>
      </c>
      <c r="R293" s="311">
        <v>16</v>
      </c>
      <c r="S293" s="311">
        <v>16</v>
      </c>
      <c r="T293" s="311">
        <v>16</v>
      </c>
    </row>
    <row r="294" spans="1:20" s="358" customFormat="1" ht="17.25" customHeight="1">
      <c r="A294" s="339"/>
      <c r="B294" s="308" t="s">
        <v>924</v>
      </c>
      <c r="C294" s="310" t="s">
        <v>94</v>
      </c>
      <c r="D294" s="311">
        <v>9</v>
      </c>
      <c r="E294" s="311">
        <v>12</v>
      </c>
      <c r="F294" s="311">
        <v>14</v>
      </c>
      <c r="G294" s="347">
        <v>14</v>
      </c>
      <c r="H294" s="347">
        <v>16</v>
      </c>
      <c r="I294" s="505">
        <v>14</v>
      </c>
      <c r="J294" s="347">
        <v>14</v>
      </c>
      <c r="K294" s="311">
        <v>13</v>
      </c>
      <c r="L294" s="311">
        <v>13</v>
      </c>
      <c r="M294" s="311">
        <v>14</v>
      </c>
      <c r="N294" s="311">
        <v>14</v>
      </c>
      <c r="O294" s="311">
        <v>14</v>
      </c>
      <c r="P294" s="311">
        <v>14</v>
      </c>
      <c r="Q294" s="311">
        <v>14</v>
      </c>
      <c r="R294" s="311">
        <v>15</v>
      </c>
      <c r="S294" s="311">
        <v>15</v>
      </c>
      <c r="T294" s="311">
        <v>15</v>
      </c>
    </row>
    <row r="295" spans="1:20" s="358" customFormat="1" ht="17.25" customHeight="1">
      <c r="A295" s="339"/>
      <c r="B295" s="308" t="s">
        <v>925</v>
      </c>
      <c r="C295" s="310" t="s">
        <v>94</v>
      </c>
      <c r="D295" s="311">
        <v>10</v>
      </c>
      <c r="E295" s="311">
        <v>9</v>
      </c>
      <c r="F295" s="311">
        <v>9</v>
      </c>
      <c r="G295" s="347">
        <v>8</v>
      </c>
      <c r="H295" s="347">
        <v>8</v>
      </c>
      <c r="I295" s="505">
        <v>6</v>
      </c>
      <c r="J295" s="347">
        <v>6</v>
      </c>
      <c r="K295" s="311">
        <v>8</v>
      </c>
      <c r="L295" s="311">
        <v>10</v>
      </c>
      <c r="M295" s="311">
        <v>13</v>
      </c>
      <c r="N295" s="311">
        <v>13</v>
      </c>
      <c r="O295" s="311">
        <v>13</v>
      </c>
      <c r="P295" s="311">
        <v>14</v>
      </c>
      <c r="Q295" s="311">
        <v>15</v>
      </c>
      <c r="R295" s="311">
        <v>15</v>
      </c>
      <c r="S295" s="311">
        <v>15</v>
      </c>
      <c r="T295" s="311">
        <v>16</v>
      </c>
    </row>
    <row r="296" spans="1:20" s="358" customFormat="1" ht="17.25" customHeight="1">
      <c r="A296" s="339"/>
      <c r="B296" s="308" t="s">
        <v>926</v>
      </c>
      <c r="C296" s="310" t="s">
        <v>94</v>
      </c>
      <c r="D296" s="311">
        <v>4</v>
      </c>
      <c r="E296" s="311">
        <v>11</v>
      </c>
      <c r="F296" s="311">
        <v>10</v>
      </c>
      <c r="G296" s="347">
        <v>9</v>
      </c>
      <c r="H296" s="347">
        <v>9</v>
      </c>
      <c r="I296" s="505">
        <v>7</v>
      </c>
      <c r="J296" s="347">
        <v>9</v>
      </c>
      <c r="K296" s="311">
        <v>9</v>
      </c>
      <c r="L296" s="311">
        <v>10</v>
      </c>
      <c r="M296" s="311">
        <v>13</v>
      </c>
      <c r="N296" s="311">
        <v>13</v>
      </c>
      <c r="O296" s="311">
        <v>13</v>
      </c>
      <c r="P296" s="311">
        <v>14</v>
      </c>
      <c r="Q296" s="311">
        <v>15</v>
      </c>
      <c r="R296" s="311">
        <v>15</v>
      </c>
      <c r="S296" s="311">
        <v>16</v>
      </c>
      <c r="T296" s="311">
        <v>16</v>
      </c>
    </row>
    <row r="297" spans="1:20" s="358" customFormat="1" ht="17.25" customHeight="1">
      <c r="A297" s="339"/>
      <c r="B297" s="308" t="s">
        <v>927</v>
      </c>
      <c r="C297" s="310" t="s">
        <v>94</v>
      </c>
      <c r="D297" s="311">
        <v>11</v>
      </c>
      <c r="E297" s="311">
        <v>9</v>
      </c>
      <c r="F297" s="311">
        <v>8</v>
      </c>
      <c r="G297" s="347">
        <v>8</v>
      </c>
      <c r="H297" s="347">
        <v>3</v>
      </c>
      <c r="I297" s="505">
        <v>4</v>
      </c>
      <c r="J297" s="347">
        <v>4</v>
      </c>
      <c r="K297" s="311">
        <v>5</v>
      </c>
      <c r="L297" s="311">
        <v>6</v>
      </c>
      <c r="M297" s="311">
        <v>7</v>
      </c>
      <c r="N297" s="311">
        <v>7</v>
      </c>
      <c r="O297" s="311">
        <v>7</v>
      </c>
      <c r="P297" s="311">
        <v>7</v>
      </c>
      <c r="Q297" s="311">
        <v>7</v>
      </c>
      <c r="R297" s="311">
        <v>8</v>
      </c>
      <c r="S297" s="311">
        <v>10</v>
      </c>
      <c r="T297" s="311">
        <v>10</v>
      </c>
    </row>
    <row r="298" spans="1:20" s="358" customFormat="1" ht="17.25" customHeight="1">
      <c r="A298" s="339"/>
      <c r="B298" s="308" t="s">
        <v>928</v>
      </c>
      <c r="C298" s="310" t="s">
        <v>94</v>
      </c>
      <c r="D298" s="311">
        <v>17</v>
      </c>
      <c r="E298" s="311">
        <v>17</v>
      </c>
      <c r="F298" s="311">
        <v>17</v>
      </c>
      <c r="G298" s="347">
        <v>14</v>
      </c>
      <c r="H298" s="347">
        <v>14</v>
      </c>
      <c r="I298" s="505">
        <v>12</v>
      </c>
      <c r="J298" s="347">
        <v>12</v>
      </c>
      <c r="K298" s="311">
        <v>12</v>
      </c>
      <c r="L298" s="311">
        <v>12</v>
      </c>
      <c r="M298" s="311">
        <v>14</v>
      </c>
      <c r="N298" s="311">
        <v>14</v>
      </c>
      <c r="O298" s="311">
        <v>14</v>
      </c>
      <c r="P298" s="311">
        <v>14</v>
      </c>
      <c r="Q298" s="311">
        <v>15</v>
      </c>
      <c r="R298" s="311">
        <v>15</v>
      </c>
      <c r="S298" s="311">
        <v>15</v>
      </c>
      <c r="T298" s="311">
        <v>15</v>
      </c>
    </row>
    <row r="299" spans="1:20" s="358" customFormat="1" ht="17.25" customHeight="1">
      <c r="A299" s="339"/>
      <c r="B299" s="308" t="s">
        <v>929</v>
      </c>
      <c r="C299" s="310" t="s">
        <v>94</v>
      </c>
      <c r="D299" s="311">
        <v>9</v>
      </c>
      <c r="E299" s="311">
        <v>9</v>
      </c>
      <c r="F299" s="311">
        <v>9</v>
      </c>
      <c r="G299" s="347">
        <v>8</v>
      </c>
      <c r="H299" s="347">
        <v>8</v>
      </c>
      <c r="I299" s="505">
        <v>7</v>
      </c>
      <c r="J299" s="347">
        <v>7</v>
      </c>
      <c r="K299" s="311">
        <v>3</v>
      </c>
      <c r="L299" s="311">
        <v>4</v>
      </c>
      <c r="M299" s="311">
        <v>5</v>
      </c>
      <c r="N299" s="311">
        <v>5</v>
      </c>
      <c r="O299" s="311">
        <v>5</v>
      </c>
      <c r="P299" s="311">
        <v>5</v>
      </c>
      <c r="Q299" s="311">
        <v>6</v>
      </c>
      <c r="R299" s="311">
        <v>6</v>
      </c>
      <c r="S299" s="311">
        <v>7</v>
      </c>
      <c r="T299" s="311">
        <v>7</v>
      </c>
    </row>
    <row r="300" spans="1:20" s="358" customFormat="1" ht="17.25" customHeight="1">
      <c r="A300" s="339"/>
      <c r="B300" s="308" t="s">
        <v>930</v>
      </c>
      <c r="C300" s="310" t="s">
        <v>94</v>
      </c>
      <c r="D300" s="311">
        <v>7</v>
      </c>
      <c r="E300" s="311">
        <v>7</v>
      </c>
      <c r="F300" s="311">
        <v>8</v>
      </c>
      <c r="G300" s="347">
        <v>6</v>
      </c>
      <c r="H300" s="347">
        <v>7</v>
      </c>
      <c r="I300" s="505">
        <v>6</v>
      </c>
      <c r="J300" s="347">
        <v>7</v>
      </c>
      <c r="K300" s="311">
        <v>5</v>
      </c>
      <c r="L300" s="311">
        <v>5</v>
      </c>
      <c r="M300" s="311">
        <v>5</v>
      </c>
      <c r="N300" s="311">
        <v>5</v>
      </c>
      <c r="O300" s="311">
        <v>5</v>
      </c>
      <c r="P300" s="311">
        <v>5</v>
      </c>
      <c r="Q300" s="311">
        <v>5</v>
      </c>
      <c r="R300" s="311">
        <v>5</v>
      </c>
      <c r="S300" s="311">
        <v>5</v>
      </c>
      <c r="T300" s="311">
        <v>5</v>
      </c>
    </row>
    <row r="301" spans="1:20" s="358" customFormat="1" ht="17.25" customHeight="1">
      <c r="A301" s="339"/>
      <c r="B301" s="308" t="s">
        <v>931</v>
      </c>
      <c r="C301" s="310" t="s">
        <v>94</v>
      </c>
      <c r="D301" s="311">
        <v>3</v>
      </c>
      <c r="E301" s="311">
        <v>4</v>
      </c>
      <c r="F301" s="311">
        <v>4</v>
      </c>
      <c r="G301" s="347">
        <v>4</v>
      </c>
      <c r="H301" s="347">
        <v>4</v>
      </c>
      <c r="I301" s="505">
        <v>4</v>
      </c>
      <c r="J301" s="347">
        <v>4</v>
      </c>
      <c r="K301" s="311">
        <v>4</v>
      </c>
      <c r="L301" s="311">
        <v>4</v>
      </c>
      <c r="M301" s="311">
        <v>4</v>
      </c>
      <c r="N301" s="311">
        <v>4</v>
      </c>
      <c r="O301" s="311">
        <v>4</v>
      </c>
      <c r="P301" s="311">
        <v>4</v>
      </c>
      <c r="Q301" s="311">
        <v>4</v>
      </c>
      <c r="R301" s="311">
        <v>4</v>
      </c>
      <c r="S301" s="311">
        <v>4</v>
      </c>
      <c r="T301" s="311">
        <v>4</v>
      </c>
    </row>
    <row r="302" spans="1:20" s="358" customFormat="1" ht="17.25" customHeight="1">
      <c r="A302" s="339"/>
      <c r="B302" s="429" t="s">
        <v>918</v>
      </c>
      <c r="C302" s="310" t="s">
        <v>94</v>
      </c>
      <c r="D302" s="360">
        <f t="shared" ref="D302:T302" si="38">SUM(D303:D309)</f>
        <v>33</v>
      </c>
      <c r="E302" s="360">
        <f t="shared" si="38"/>
        <v>25</v>
      </c>
      <c r="F302" s="360">
        <f t="shared" si="38"/>
        <v>25</v>
      </c>
      <c r="G302" s="360">
        <f t="shared" si="38"/>
        <v>36</v>
      </c>
      <c r="H302" s="360">
        <f t="shared" si="38"/>
        <v>29</v>
      </c>
      <c r="I302" s="501">
        <f t="shared" si="38"/>
        <v>29</v>
      </c>
      <c r="J302" s="360">
        <f t="shared" si="38"/>
        <v>32</v>
      </c>
      <c r="K302" s="360">
        <f t="shared" si="38"/>
        <v>24</v>
      </c>
      <c r="L302" s="360">
        <f t="shared" si="38"/>
        <v>24</v>
      </c>
      <c r="M302" s="360">
        <f t="shared" si="38"/>
        <v>24</v>
      </c>
      <c r="N302" s="360">
        <f t="shared" si="38"/>
        <v>24</v>
      </c>
      <c r="O302" s="360">
        <f t="shared" si="38"/>
        <v>24</v>
      </c>
      <c r="P302" s="360">
        <f t="shared" si="38"/>
        <v>24</v>
      </c>
      <c r="Q302" s="360">
        <f t="shared" si="38"/>
        <v>24</v>
      </c>
      <c r="R302" s="360">
        <f t="shared" si="38"/>
        <v>24</v>
      </c>
      <c r="S302" s="360">
        <f t="shared" si="38"/>
        <v>24</v>
      </c>
      <c r="T302" s="360">
        <f t="shared" si="38"/>
        <v>24</v>
      </c>
    </row>
    <row r="303" spans="1:20" s="358" customFormat="1" ht="17.25" customHeight="1">
      <c r="A303" s="339"/>
      <c r="B303" s="332" t="s">
        <v>932</v>
      </c>
      <c r="C303" s="310" t="s">
        <v>94</v>
      </c>
      <c r="D303" s="311">
        <v>4</v>
      </c>
      <c r="E303" s="311">
        <v>5</v>
      </c>
      <c r="F303" s="311">
        <v>5</v>
      </c>
      <c r="G303" s="311">
        <v>5</v>
      </c>
      <c r="H303" s="311">
        <v>5</v>
      </c>
      <c r="I303" s="494">
        <v>5</v>
      </c>
      <c r="J303" s="311">
        <v>5</v>
      </c>
      <c r="K303" s="311">
        <v>5</v>
      </c>
      <c r="L303" s="311">
        <v>5</v>
      </c>
      <c r="M303" s="311">
        <v>5</v>
      </c>
      <c r="N303" s="311">
        <v>5</v>
      </c>
      <c r="O303" s="311">
        <v>5</v>
      </c>
      <c r="P303" s="311">
        <v>5</v>
      </c>
      <c r="Q303" s="311">
        <v>5</v>
      </c>
      <c r="R303" s="311">
        <v>5</v>
      </c>
      <c r="S303" s="311">
        <v>5</v>
      </c>
      <c r="T303" s="311">
        <v>5</v>
      </c>
    </row>
    <row r="304" spans="1:20" s="358" customFormat="1" ht="17.25" customHeight="1">
      <c r="A304" s="339"/>
      <c r="B304" s="349" t="s">
        <v>138</v>
      </c>
      <c r="C304" s="310" t="s">
        <v>94</v>
      </c>
      <c r="D304" s="311">
        <v>1</v>
      </c>
      <c r="E304" s="311">
        <v>1</v>
      </c>
      <c r="F304" s="311">
        <v>1</v>
      </c>
      <c r="G304" s="311">
        <v>1</v>
      </c>
      <c r="H304" s="311">
        <v>1</v>
      </c>
      <c r="I304" s="494">
        <v>1</v>
      </c>
      <c r="J304" s="311">
        <v>1</v>
      </c>
      <c r="K304" s="311">
        <v>1</v>
      </c>
      <c r="L304" s="311">
        <v>1</v>
      </c>
      <c r="M304" s="311">
        <v>1</v>
      </c>
      <c r="N304" s="311">
        <v>1</v>
      </c>
      <c r="O304" s="311">
        <v>1</v>
      </c>
      <c r="P304" s="311">
        <v>1</v>
      </c>
      <c r="Q304" s="311">
        <v>1</v>
      </c>
      <c r="R304" s="311">
        <v>1</v>
      </c>
      <c r="S304" s="311">
        <v>1</v>
      </c>
      <c r="T304" s="311">
        <v>1</v>
      </c>
    </row>
    <row r="305" spans="1:20" s="358" customFormat="1" ht="17.25" customHeight="1">
      <c r="A305" s="339"/>
      <c r="B305" s="349" t="s">
        <v>139</v>
      </c>
      <c r="C305" s="310" t="s">
        <v>94</v>
      </c>
      <c r="D305" s="311">
        <v>1</v>
      </c>
      <c r="E305" s="311">
        <v>1</v>
      </c>
      <c r="F305" s="311">
        <v>1</v>
      </c>
      <c r="G305" s="311">
        <v>1</v>
      </c>
      <c r="H305" s="311">
        <v>1</v>
      </c>
      <c r="I305" s="494">
        <v>1</v>
      </c>
      <c r="J305" s="311">
        <v>1</v>
      </c>
      <c r="K305" s="311">
        <v>1</v>
      </c>
      <c r="L305" s="311">
        <v>1</v>
      </c>
      <c r="M305" s="311">
        <v>1</v>
      </c>
      <c r="N305" s="311">
        <v>1</v>
      </c>
      <c r="O305" s="311">
        <v>1</v>
      </c>
      <c r="P305" s="311">
        <v>1</v>
      </c>
      <c r="Q305" s="311">
        <v>1</v>
      </c>
      <c r="R305" s="311">
        <v>1</v>
      </c>
      <c r="S305" s="311">
        <v>1</v>
      </c>
      <c r="T305" s="311">
        <v>1</v>
      </c>
    </row>
    <row r="306" spans="1:20" s="358" customFormat="1" ht="17.25" customHeight="1">
      <c r="A306" s="339"/>
      <c r="B306" s="349" t="s">
        <v>140</v>
      </c>
      <c r="C306" s="310" t="s">
        <v>94</v>
      </c>
      <c r="D306" s="311"/>
      <c r="E306" s="311"/>
      <c r="F306" s="311"/>
      <c r="G306" s="311"/>
      <c r="H306" s="311"/>
      <c r="I306" s="494"/>
      <c r="J306" s="311"/>
      <c r="K306" s="311"/>
      <c r="L306" s="311"/>
      <c r="M306" s="311"/>
      <c r="N306" s="311"/>
      <c r="O306" s="311"/>
      <c r="P306" s="311"/>
      <c r="Q306" s="311"/>
      <c r="R306" s="311"/>
      <c r="S306" s="311"/>
      <c r="T306" s="311"/>
    </row>
    <row r="307" spans="1:20" s="358" customFormat="1" ht="17.25" customHeight="1">
      <c r="A307" s="339"/>
      <c r="B307" s="349" t="s">
        <v>141</v>
      </c>
      <c r="C307" s="310" t="s">
        <v>94</v>
      </c>
      <c r="D307" s="311">
        <v>1</v>
      </c>
      <c r="E307" s="311">
        <v>1</v>
      </c>
      <c r="F307" s="311">
        <v>1</v>
      </c>
      <c r="G307" s="311">
        <v>1</v>
      </c>
      <c r="H307" s="311">
        <v>1</v>
      </c>
      <c r="I307" s="494">
        <v>1</v>
      </c>
      <c r="J307" s="311">
        <v>1</v>
      </c>
      <c r="K307" s="311">
        <v>1</v>
      </c>
      <c r="L307" s="311">
        <v>1</v>
      </c>
      <c r="M307" s="311">
        <v>1</v>
      </c>
      <c r="N307" s="311">
        <v>1</v>
      </c>
      <c r="O307" s="311">
        <v>1</v>
      </c>
      <c r="P307" s="311">
        <v>1</v>
      </c>
      <c r="Q307" s="311">
        <v>1</v>
      </c>
      <c r="R307" s="311">
        <v>1</v>
      </c>
      <c r="S307" s="311">
        <v>1</v>
      </c>
      <c r="T307" s="311">
        <v>1</v>
      </c>
    </row>
    <row r="308" spans="1:20" s="358" customFormat="1" ht="17.25" customHeight="1">
      <c r="A308" s="339"/>
      <c r="B308" s="349" t="s">
        <v>142</v>
      </c>
      <c r="C308" s="310" t="s">
        <v>94</v>
      </c>
      <c r="D308" s="311">
        <v>1</v>
      </c>
      <c r="E308" s="311">
        <v>1</v>
      </c>
      <c r="F308" s="311">
        <v>1</v>
      </c>
      <c r="G308" s="311">
        <v>1</v>
      </c>
      <c r="H308" s="311">
        <v>1</v>
      </c>
      <c r="I308" s="494">
        <v>1</v>
      </c>
      <c r="J308" s="311">
        <v>1</v>
      </c>
      <c r="K308" s="311">
        <v>1</v>
      </c>
      <c r="L308" s="311">
        <v>1</v>
      </c>
      <c r="M308" s="311">
        <v>1</v>
      </c>
      <c r="N308" s="311">
        <v>1</v>
      </c>
      <c r="O308" s="311">
        <v>1</v>
      </c>
      <c r="P308" s="311">
        <v>1</v>
      </c>
      <c r="Q308" s="311">
        <v>1</v>
      </c>
      <c r="R308" s="311">
        <v>1</v>
      </c>
      <c r="S308" s="311">
        <v>1</v>
      </c>
      <c r="T308" s="311">
        <v>1</v>
      </c>
    </row>
    <row r="309" spans="1:20" s="358" customFormat="1" ht="17.25" customHeight="1">
      <c r="A309" s="339"/>
      <c r="B309" s="349" t="s">
        <v>143</v>
      </c>
      <c r="C309" s="310" t="s">
        <v>94</v>
      </c>
      <c r="D309" s="311">
        <v>25</v>
      </c>
      <c r="E309" s="311">
        <v>16</v>
      </c>
      <c r="F309" s="311">
        <v>16</v>
      </c>
      <c r="G309" s="311">
        <v>27</v>
      </c>
      <c r="H309" s="311">
        <v>20</v>
      </c>
      <c r="I309" s="494">
        <v>20</v>
      </c>
      <c r="J309" s="311">
        <v>23</v>
      </c>
      <c r="K309" s="311">
        <v>15</v>
      </c>
      <c r="L309" s="311">
        <v>15</v>
      </c>
      <c r="M309" s="311">
        <v>15</v>
      </c>
      <c r="N309" s="311">
        <v>15</v>
      </c>
      <c r="O309" s="311">
        <v>15</v>
      </c>
      <c r="P309" s="311">
        <v>15</v>
      </c>
      <c r="Q309" s="311">
        <v>15</v>
      </c>
      <c r="R309" s="311">
        <v>15</v>
      </c>
      <c r="S309" s="311">
        <v>15</v>
      </c>
      <c r="T309" s="311">
        <v>15</v>
      </c>
    </row>
    <row r="310" spans="1:20" s="358" customFormat="1" ht="17.25" customHeight="1">
      <c r="A310" s="350" t="s">
        <v>500</v>
      </c>
      <c r="B310" s="350" t="s">
        <v>144</v>
      </c>
      <c r="C310" s="340"/>
      <c r="D310" s="340"/>
      <c r="E310" s="340"/>
      <c r="F310" s="340"/>
      <c r="G310" s="340"/>
      <c r="H310" s="340"/>
      <c r="I310" s="508"/>
      <c r="J310" s="357"/>
      <c r="K310" s="357"/>
      <c r="L310" s="357"/>
      <c r="M310" s="357"/>
      <c r="N310" s="357"/>
      <c r="O310" s="357"/>
      <c r="P310" s="344"/>
      <c r="Q310" s="344"/>
      <c r="R310" s="344"/>
      <c r="S310" s="344"/>
      <c r="T310" s="344"/>
    </row>
    <row r="311" spans="1:20" s="358" customFormat="1" ht="17.25" customHeight="1">
      <c r="A311" s="448">
        <v>1</v>
      </c>
      <c r="B311" s="304" t="s">
        <v>933</v>
      </c>
      <c r="C311" s="340"/>
      <c r="D311" s="340"/>
      <c r="E311" s="340"/>
      <c r="F311" s="340"/>
      <c r="G311" s="340"/>
      <c r="H311" s="340"/>
      <c r="I311" s="508"/>
      <c r="J311" s="357"/>
      <c r="K311" s="357"/>
      <c r="L311" s="357"/>
      <c r="M311" s="357"/>
      <c r="N311" s="357"/>
      <c r="O311" s="357"/>
      <c r="P311" s="344"/>
      <c r="Q311" s="344"/>
      <c r="R311" s="344"/>
      <c r="S311" s="344"/>
      <c r="T311" s="344"/>
    </row>
    <row r="312" spans="1:20" s="358" customFormat="1" ht="17.25" customHeight="1">
      <c r="A312" s="340"/>
      <c r="B312" s="340" t="s">
        <v>845</v>
      </c>
      <c r="C312" s="340" t="s">
        <v>846</v>
      </c>
      <c r="D312" s="449">
        <v>33200</v>
      </c>
      <c r="E312" s="449">
        <v>33200</v>
      </c>
      <c r="F312" s="449">
        <v>33200</v>
      </c>
      <c r="G312" s="449">
        <v>33200</v>
      </c>
      <c r="H312" s="449">
        <v>33200</v>
      </c>
      <c r="I312" s="505">
        <v>33200</v>
      </c>
      <c r="J312" s="346">
        <v>33200</v>
      </c>
      <c r="K312" s="346">
        <v>33200</v>
      </c>
      <c r="L312" s="346">
        <v>33200</v>
      </c>
      <c r="M312" s="346">
        <v>33200</v>
      </c>
      <c r="N312" s="346">
        <v>33200</v>
      </c>
      <c r="O312" s="346">
        <v>100000</v>
      </c>
      <c r="P312" s="346">
        <v>100000</v>
      </c>
      <c r="Q312" s="346">
        <v>100000</v>
      </c>
      <c r="R312" s="346">
        <v>100000</v>
      </c>
      <c r="S312" s="346">
        <v>100000</v>
      </c>
      <c r="T312" s="346">
        <v>100000</v>
      </c>
    </row>
    <row r="313" spans="1:20" s="358" customFormat="1" ht="17.25" customHeight="1">
      <c r="A313" s="340"/>
      <c r="B313" s="340" t="s">
        <v>847</v>
      </c>
      <c r="C313" s="340" t="s">
        <v>846</v>
      </c>
      <c r="D313" s="450">
        <v>15535</v>
      </c>
      <c r="E313" s="450">
        <v>15535</v>
      </c>
      <c r="F313" s="450">
        <v>15535</v>
      </c>
      <c r="G313" s="450">
        <v>15535</v>
      </c>
      <c r="H313" s="450">
        <v>15535</v>
      </c>
      <c r="I313" s="524">
        <v>15535</v>
      </c>
      <c r="J313" s="339">
        <f>15535+280</f>
        <v>15815</v>
      </c>
      <c r="K313" s="449">
        <f>15815+1300</f>
        <v>17115</v>
      </c>
      <c r="L313" s="449">
        <f>15815+1300</f>
        <v>17115</v>
      </c>
      <c r="M313" s="449">
        <f>15815+1300</f>
        <v>17115</v>
      </c>
      <c r="N313" s="449">
        <f>15815+1300</f>
        <v>17115</v>
      </c>
      <c r="O313" s="451">
        <v>20888</v>
      </c>
      <c r="P313" s="451">
        <v>20888</v>
      </c>
      <c r="Q313" s="451">
        <v>20888</v>
      </c>
      <c r="R313" s="451">
        <v>20888</v>
      </c>
      <c r="S313" s="346">
        <v>29121</v>
      </c>
      <c r="T313" s="346">
        <v>31185</v>
      </c>
    </row>
    <row r="314" spans="1:20" s="358" customFormat="1" ht="17.25" customHeight="1">
      <c r="A314" s="340"/>
      <c r="B314" s="340" t="s">
        <v>848</v>
      </c>
      <c r="C314" s="339" t="s">
        <v>846</v>
      </c>
      <c r="D314" s="450">
        <v>3433</v>
      </c>
      <c r="E314" s="450">
        <v>3433</v>
      </c>
      <c r="F314" s="450">
        <v>3433</v>
      </c>
      <c r="G314" s="450">
        <v>3433</v>
      </c>
      <c r="H314" s="450">
        <v>3433</v>
      </c>
      <c r="I314" s="524">
        <v>3433</v>
      </c>
      <c r="J314" s="450">
        <v>3433</v>
      </c>
      <c r="K314" s="346">
        <f>3433+1300</f>
        <v>4733</v>
      </c>
      <c r="L314" s="346">
        <f>3433+1300</f>
        <v>4733</v>
      </c>
      <c r="M314" s="346">
        <f>3433+1300</f>
        <v>4733</v>
      </c>
      <c r="N314" s="346">
        <f>3433+1300</f>
        <v>4733</v>
      </c>
      <c r="O314" s="451">
        <v>4733</v>
      </c>
      <c r="P314" s="451">
        <v>4733</v>
      </c>
      <c r="Q314" s="451">
        <v>4733</v>
      </c>
      <c r="R314" s="451">
        <v>4733</v>
      </c>
      <c r="S314" s="346">
        <v>6866</v>
      </c>
      <c r="T314" s="346">
        <v>6866</v>
      </c>
    </row>
    <row r="315" spans="1:20" s="358" customFormat="1" ht="17.25" customHeight="1">
      <c r="A315" s="340"/>
      <c r="B315" s="351" t="s">
        <v>849</v>
      </c>
      <c r="C315" s="340" t="s">
        <v>107</v>
      </c>
      <c r="D315" s="450">
        <v>30</v>
      </c>
      <c r="E315" s="450">
        <v>30</v>
      </c>
      <c r="F315" s="450">
        <v>30</v>
      </c>
      <c r="G315" s="450">
        <v>30</v>
      </c>
      <c r="H315" s="450">
        <v>30</v>
      </c>
      <c r="I315" s="524">
        <v>30</v>
      </c>
      <c r="J315" s="450">
        <v>30</v>
      </c>
      <c r="K315" s="346">
        <v>35</v>
      </c>
      <c r="L315" s="346">
        <v>35</v>
      </c>
      <c r="M315" s="346">
        <v>35</v>
      </c>
      <c r="N315" s="346">
        <v>35</v>
      </c>
      <c r="O315" s="451">
        <v>35</v>
      </c>
      <c r="P315" s="451">
        <v>35</v>
      </c>
      <c r="Q315" s="451">
        <v>35</v>
      </c>
      <c r="R315" s="451">
        <v>35</v>
      </c>
      <c r="S315" s="346">
        <v>60</v>
      </c>
      <c r="T315" s="346">
        <v>60</v>
      </c>
    </row>
    <row r="316" spans="1:20" s="358" customFormat="1" ht="17.25" customHeight="1">
      <c r="A316" s="340"/>
      <c r="B316" s="340" t="s">
        <v>850</v>
      </c>
      <c r="C316" s="339" t="s">
        <v>846</v>
      </c>
      <c r="D316" s="450">
        <v>779</v>
      </c>
      <c r="E316" s="450">
        <v>779</v>
      </c>
      <c r="F316" s="450">
        <v>779</v>
      </c>
      <c r="G316" s="450">
        <v>779</v>
      </c>
      <c r="H316" s="450">
        <v>779</v>
      </c>
      <c r="I316" s="524">
        <v>779</v>
      </c>
      <c r="J316" s="450">
        <v>779</v>
      </c>
      <c r="K316" s="450">
        <v>779</v>
      </c>
      <c r="L316" s="450">
        <v>779</v>
      </c>
      <c r="M316" s="450">
        <v>779</v>
      </c>
      <c r="N316" s="450">
        <v>779</v>
      </c>
      <c r="O316" s="451">
        <v>1558</v>
      </c>
      <c r="P316" s="451">
        <v>1558</v>
      </c>
      <c r="Q316" s="451">
        <v>1558</v>
      </c>
      <c r="R316" s="451">
        <v>1558</v>
      </c>
      <c r="S316" s="346">
        <v>1558</v>
      </c>
      <c r="T316" s="346">
        <v>1558</v>
      </c>
    </row>
    <row r="317" spans="1:20" s="358" customFormat="1" ht="17.25" customHeight="1">
      <c r="A317" s="340"/>
      <c r="B317" s="351" t="s">
        <v>851</v>
      </c>
      <c r="C317" s="340" t="s">
        <v>107</v>
      </c>
      <c r="D317" s="346">
        <v>6</v>
      </c>
      <c r="E317" s="346">
        <v>6</v>
      </c>
      <c r="F317" s="346">
        <v>6</v>
      </c>
      <c r="G317" s="346">
        <v>6</v>
      </c>
      <c r="H317" s="346">
        <v>6</v>
      </c>
      <c r="I317" s="505">
        <v>6</v>
      </c>
      <c r="J317" s="346">
        <v>6</v>
      </c>
      <c r="K317" s="346">
        <v>6</v>
      </c>
      <c r="L317" s="346">
        <v>6</v>
      </c>
      <c r="M317" s="346">
        <v>6</v>
      </c>
      <c r="N317" s="346">
        <v>6</v>
      </c>
      <c r="O317" s="451">
        <v>12</v>
      </c>
      <c r="P317" s="451">
        <v>12</v>
      </c>
      <c r="Q317" s="451">
        <v>12</v>
      </c>
      <c r="R317" s="451">
        <v>12</v>
      </c>
      <c r="S317" s="346">
        <v>12</v>
      </c>
      <c r="T317" s="346">
        <v>12</v>
      </c>
    </row>
    <row r="318" spans="1:20" s="358" customFormat="1" ht="17.25" customHeight="1">
      <c r="A318" s="340"/>
      <c r="B318" s="340" t="s">
        <v>852</v>
      </c>
      <c r="C318" s="339" t="s">
        <v>846</v>
      </c>
      <c r="D318" s="450">
        <v>2930</v>
      </c>
      <c r="E318" s="450">
        <v>2930</v>
      </c>
      <c r="F318" s="450">
        <v>2930</v>
      </c>
      <c r="G318" s="450">
        <v>2930</v>
      </c>
      <c r="H318" s="450">
        <v>2930</v>
      </c>
      <c r="I318" s="524">
        <v>2930</v>
      </c>
      <c r="J318" s="450">
        <v>2930</v>
      </c>
      <c r="K318" s="450">
        <v>2930</v>
      </c>
      <c r="L318" s="450">
        <v>2930</v>
      </c>
      <c r="M318" s="450">
        <v>2930</v>
      </c>
      <c r="N318" s="450">
        <v>2930</v>
      </c>
      <c r="O318" s="451">
        <v>2930</v>
      </c>
      <c r="P318" s="451">
        <v>2930</v>
      </c>
      <c r="Q318" s="451">
        <v>2930</v>
      </c>
      <c r="R318" s="451">
        <v>2930</v>
      </c>
      <c r="S318" s="346">
        <v>4883</v>
      </c>
      <c r="T318" s="346">
        <v>4883</v>
      </c>
    </row>
    <row r="319" spans="1:20" s="358" customFormat="1" ht="17.25" customHeight="1">
      <c r="A319" s="340"/>
      <c r="B319" s="351" t="s">
        <v>851</v>
      </c>
      <c r="C319" s="340" t="s">
        <v>107</v>
      </c>
      <c r="D319" s="346">
        <v>6</v>
      </c>
      <c r="E319" s="346">
        <v>6</v>
      </c>
      <c r="F319" s="346">
        <v>6</v>
      </c>
      <c r="G319" s="346">
        <v>6</v>
      </c>
      <c r="H319" s="346">
        <v>6</v>
      </c>
      <c r="I319" s="505">
        <v>6</v>
      </c>
      <c r="J319" s="346">
        <v>6</v>
      </c>
      <c r="K319" s="346">
        <v>6</v>
      </c>
      <c r="L319" s="346">
        <v>6</v>
      </c>
      <c r="M319" s="346">
        <v>6</v>
      </c>
      <c r="N319" s="346">
        <v>6</v>
      </c>
      <c r="O319" s="451">
        <v>6</v>
      </c>
      <c r="P319" s="451">
        <v>6</v>
      </c>
      <c r="Q319" s="451">
        <v>6</v>
      </c>
      <c r="R319" s="451">
        <v>6</v>
      </c>
      <c r="S319" s="346">
        <v>10</v>
      </c>
      <c r="T319" s="346">
        <v>10</v>
      </c>
    </row>
    <row r="320" spans="1:20" s="358" customFormat="1" ht="17.25" customHeight="1">
      <c r="A320" s="340"/>
      <c r="B320" s="340" t="s">
        <v>853</v>
      </c>
      <c r="C320" s="339" t="s">
        <v>846</v>
      </c>
      <c r="D320" s="346">
        <v>0</v>
      </c>
      <c r="E320" s="346">
        <v>0</v>
      </c>
      <c r="F320" s="346">
        <v>0</v>
      </c>
      <c r="G320" s="346">
        <v>0</v>
      </c>
      <c r="H320" s="346">
        <v>0</v>
      </c>
      <c r="I320" s="505">
        <v>0</v>
      </c>
      <c r="J320" s="346">
        <v>0</v>
      </c>
      <c r="K320" s="346">
        <v>0</v>
      </c>
      <c r="L320" s="346">
        <v>0</v>
      </c>
      <c r="M320" s="346">
        <v>0</v>
      </c>
      <c r="N320" s="346">
        <v>0</v>
      </c>
      <c r="O320" s="451">
        <v>1500</v>
      </c>
      <c r="P320" s="451">
        <v>1500</v>
      </c>
      <c r="Q320" s="451">
        <v>1500</v>
      </c>
      <c r="R320" s="451">
        <v>1500</v>
      </c>
      <c r="S320" s="346">
        <v>3000</v>
      </c>
      <c r="T320" s="346">
        <v>3000</v>
      </c>
    </row>
    <row r="321" spans="1:20" s="358" customFormat="1" ht="17.25" customHeight="1">
      <c r="A321" s="340"/>
      <c r="B321" s="351" t="s">
        <v>851</v>
      </c>
      <c r="C321" s="340" t="s">
        <v>107</v>
      </c>
      <c r="D321" s="346">
        <v>0</v>
      </c>
      <c r="E321" s="346">
        <v>0</v>
      </c>
      <c r="F321" s="346">
        <v>0</v>
      </c>
      <c r="G321" s="346">
        <v>0</v>
      </c>
      <c r="H321" s="346">
        <v>0</v>
      </c>
      <c r="I321" s="505">
        <v>0</v>
      </c>
      <c r="J321" s="346">
        <v>0</v>
      </c>
      <c r="K321" s="346">
        <v>0</v>
      </c>
      <c r="L321" s="346">
        <v>0</v>
      </c>
      <c r="M321" s="346">
        <v>0</v>
      </c>
      <c r="N321" s="346">
        <v>0</v>
      </c>
      <c r="O321" s="451">
        <v>4</v>
      </c>
      <c r="P321" s="451">
        <v>4</v>
      </c>
      <c r="Q321" s="451">
        <v>4</v>
      </c>
      <c r="R321" s="451">
        <v>4</v>
      </c>
      <c r="S321" s="346">
        <v>8</v>
      </c>
      <c r="T321" s="346">
        <v>8</v>
      </c>
    </row>
    <row r="322" spans="1:20" s="358" customFormat="1" ht="17.25" customHeight="1">
      <c r="A322" s="340"/>
      <c r="B322" s="340" t="s">
        <v>854</v>
      </c>
      <c r="C322" s="340"/>
      <c r="D322" s="346"/>
      <c r="E322" s="346"/>
      <c r="F322" s="346"/>
      <c r="G322" s="346"/>
      <c r="H322" s="346"/>
      <c r="I322" s="505"/>
      <c r="J322" s="346"/>
      <c r="K322" s="346"/>
      <c r="L322" s="346"/>
      <c r="M322" s="346"/>
      <c r="N322" s="346"/>
      <c r="O322" s="451"/>
      <c r="P322" s="451"/>
      <c r="Q322" s="451"/>
      <c r="R322" s="451"/>
      <c r="S322" s="346"/>
      <c r="T322" s="346"/>
    </row>
    <row r="323" spans="1:20" s="358" customFormat="1" ht="17.25" customHeight="1">
      <c r="A323" s="340"/>
      <c r="B323" s="351" t="s">
        <v>855</v>
      </c>
      <c r="C323" s="339" t="s">
        <v>846</v>
      </c>
      <c r="D323" s="450">
        <v>794</v>
      </c>
      <c r="E323" s="450">
        <v>794</v>
      </c>
      <c r="F323" s="450">
        <v>794</v>
      </c>
      <c r="G323" s="450">
        <v>794</v>
      </c>
      <c r="H323" s="450">
        <v>794</v>
      </c>
      <c r="I323" s="524">
        <v>794</v>
      </c>
      <c r="J323" s="450">
        <v>794</v>
      </c>
      <c r="K323" s="450">
        <v>794</v>
      </c>
      <c r="L323" s="450">
        <v>794</v>
      </c>
      <c r="M323" s="450">
        <v>794</v>
      </c>
      <c r="N323" s="450">
        <v>794</v>
      </c>
      <c r="O323" s="451">
        <v>1429</v>
      </c>
      <c r="P323" s="451">
        <v>1429</v>
      </c>
      <c r="Q323" s="451">
        <v>1429</v>
      </c>
      <c r="R323" s="451">
        <v>1429</v>
      </c>
      <c r="S323" s="346">
        <v>1429</v>
      </c>
      <c r="T323" s="346">
        <v>1429</v>
      </c>
    </row>
    <row r="324" spans="1:20" s="358" customFormat="1" ht="17.25" customHeight="1">
      <c r="A324" s="340"/>
      <c r="B324" s="351" t="s">
        <v>851</v>
      </c>
      <c r="C324" s="340" t="s">
        <v>107</v>
      </c>
      <c r="D324" s="346">
        <v>15</v>
      </c>
      <c r="E324" s="346">
        <v>15</v>
      </c>
      <c r="F324" s="346">
        <v>15</v>
      </c>
      <c r="G324" s="346">
        <v>15</v>
      </c>
      <c r="H324" s="346">
        <v>15</v>
      </c>
      <c r="I324" s="505">
        <v>15</v>
      </c>
      <c r="J324" s="346">
        <v>15</v>
      </c>
      <c r="K324" s="346">
        <v>15</v>
      </c>
      <c r="L324" s="346">
        <v>15</v>
      </c>
      <c r="M324" s="346">
        <v>15</v>
      </c>
      <c r="N324" s="346">
        <v>15</v>
      </c>
      <c r="O324" s="451">
        <v>27</v>
      </c>
      <c r="P324" s="451">
        <v>27</v>
      </c>
      <c r="Q324" s="451">
        <v>27</v>
      </c>
      <c r="R324" s="451">
        <v>27</v>
      </c>
      <c r="S324" s="346">
        <v>27</v>
      </c>
      <c r="T324" s="346">
        <v>27</v>
      </c>
    </row>
    <row r="325" spans="1:20" s="358" customFormat="1" ht="17.25" customHeight="1">
      <c r="A325" s="340"/>
      <c r="B325" s="340" t="s">
        <v>856</v>
      </c>
      <c r="C325" s="339" t="s">
        <v>846</v>
      </c>
      <c r="D325" s="346"/>
      <c r="E325" s="346"/>
      <c r="F325" s="346"/>
      <c r="G325" s="346"/>
      <c r="H325" s="346"/>
      <c r="I325" s="505"/>
      <c r="J325" s="346"/>
      <c r="K325" s="346"/>
      <c r="L325" s="346"/>
      <c r="M325" s="346"/>
      <c r="N325" s="346"/>
      <c r="O325" s="451"/>
      <c r="P325" s="451"/>
      <c r="Q325" s="451"/>
      <c r="R325" s="451"/>
      <c r="S325" s="346"/>
      <c r="T325" s="346"/>
    </row>
    <row r="326" spans="1:20" s="358" customFormat="1" ht="17.25" customHeight="1">
      <c r="A326" s="340"/>
      <c r="B326" s="351" t="s">
        <v>851</v>
      </c>
      <c r="C326" s="340" t="s">
        <v>107</v>
      </c>
      <c r="D326" s="346"/>
      <c r="E326" s="346"/>
      <c r="F326" s="346"/>
      <c r="G326" s="346"/>
      <c r="H326" s="346"/>
      <c r="I326" s="505"/>
      <c r="J326" s="346"/>
      <c r="K326" s="346"/>
      <c r="L326" s="346"/>
      <c r="M326" s="346"/>
      <c r="N326" s="346"/>
      <c r="O326" s="451"/>
      <c r="P326" s="451"/>
      <c r="Q326" s="451"/>
      <c r="R326" s="451"/>
      <c r="S326" s="346"/>
      <c r="T326" s="346"/>
    </row>
    <row r="327" spans="1:20" s="358" customFormat="1" ht="17.25" customHeight="1">
      <c r="A327" s="340"/>
      <c r="B327" s="340" t="s">
        <v>857</v>
      </c>
      <c r="C327" s="339" t="s">
        <v>846</v>
      </c>
      <c r="D327" s="450">
        <v>1350</v>
      </c>
      <c r="E327" s="450">
        <v>1350</v>
      </c>
      <c r="F327" s="450">
        <v>1350</v>
      </c>
      <c r="G327" s="450">
        <v>1350</v>
      </c>
      <c r="H327" s="450">
        <v>1350</v>
      </c>
      <c r="I327" s="524">
        <v>1350</v>
      </c>
      <c r="J327" s="450">
        <v>1350</v>
      </c>
      <c r="K327" s="450">
        <v>1350</v>
      </c>
      <c r="L327" s="450">
        <v>1350</v>
      </c>
      <c r="M327" s="450">
        <v>1350</v>
      </c>
      <c r="N327" s="450">
        <v>1350</v>
      </c>
      <c r="O327" s="451">
        <v>2025</v>
      </c>
      <c r="P327" s="451">
        <v>2025</v>
      </c>
      <c r="Q327" s="451">
        <v>2025</v>
      </c>
      <c r="R327" s="451">
        <v>2025</v>
      </c>
      <c r="S327" s="346">
        <v>2025</v>
      </c>
      <c r="T327" s="346">
        <v>2025</v>
      </c>
    </row>
    <row r="328" spans="1:20" s="358" customFormat="1" ht="17.25" customHeight="1">
      <c r="A328" s="340"/>
      <c r="B328" s="351" t="s">
        <v>851</v>
      </c>
      <c r="C328" s="340" t="s">
        <v>107</v>
      </c>
      <c r="D328" s="346">
        <v>4</v>
      </c>
      <c r="E328" s="346">
        <v>4</v>
      </c>
      <c r="F328" s="346">
        <v>4</v>
      </c>
      <c r="G328" s="346">
        <v>4</v>
      </c>
      <c r="H328" s="346">
        <v>4</v>
      </c>
      <c r="I328" s="505">
        <v>4</v>
      </c>
      <c r="J328" s="346">
        <v>4</v>
      </c>
      <c r="K328" s="346">
        <v>4</v>
      </c>
      <c r="L328" s="346">
        <v>4</v>
      </c>
      <c r="M328" s="346">
        <v>4</v>
      </c>
      <c r="N328" s="346">
        <v>4</v>
      </c>
      <c r="O328" s="451">
        <v>6</v>
      </c>
      <c r="P328" s="451">
        <v>6</v>
      </c>
      <c r="Q328" s="451">
        <v>6</v>
      </c>
      <c r="R328" s="451">
        <v>6</v>
      </c>
      <c r="S328" s="346">
        <v>6</v>
      </c>
      <c r="T328" s="346">
        <v>6</v>
      </c>
    </row>
    <row r="329" spans="1:20" s="358" customFormat="1" ht="17.25" customHeight="1">
      <c r="A329" s="340"/>
      <c r="B329" s="340" t="s">
        <v>858</v>
      </c>
      <c r="C329" s="339" t="s">
        <v>846</v>
      </c>
      <c r="D329" s="450">
        <v>550</v>
      </c>
      <c r="E329" s="450">
        <v>550</v>
      </c>
      <c r="F329" s="450">
        <v>550</v>
      </c>
      <c r="G329" s="450">
        <v>550</v>
      </c>
      <c r="H329" s="450">
        <v>550</v>
      </c>
      <c r="I329" s="524">
        <v>550</v>
      </c>
      <c r="J329" s="450">
        <v>550</v>
      </c>
      <c r="K329" s="450">
        <v>550</v>
      </c>
      <c r="L329" s="450">
        <v>550</v>
      </c>
      <c r="M329" s="450">
        <v>550</v>
      </c>
      <c r="N329" s="450">
        <v>550</v>
      </c>
      <c r="O329" s="451">
        <v>550</v>
      </c>
      <c r="P329" s="451">
        <v>550</v>
      </c>
      <c r="Q329" s="451">
        <v>550</v>
      </c>
      <c r="R329" s="451">
        <v>550</v>
      </c>
      <c r="S329" s="346">
        <v>1100</v>
      </c>
      <c r="T329" s="346">
        <v>1100</v>
      </c>
    </row>
    <row r="330" spans="1:20" s="358" customFormat="1" ht="17.25" customHeight="1">
      <c r="A330" s="340"/>
      <c r="B330" s="351" t="s">
        <v>859</v>
      </c>
      <c r="C330" s="340" t="s">
        <v>307</v>
      </c>
      <c r="D330" s="346">
        <v>1</v>
      </c>
      <c r="E330" s="346">
        <v>1</v>
      </c>
      <c r="F330" s="346">
        <v>1</v>
      </c>
      <c r="G330" s="346">
        <v>1</v>
      </c>
      <c r="H330" s="346">
        <v>1</v>
      </c>
      <c r="I330" s="505">
        <v>1</v>
      </c>
      <c r="J330" s="346">
        <v>1</v>
      </c>
      <c r="K330" s="346">
        <v>1</v>
      </c>
      <c r="L330" s="346">
        <v>1</v>
      </c>
      <c r="M330" s="346">
        <v>1</v>
      </c>
      <c r="N330" s="346">
        <v>1</v>
      </c>
      <c r="O330" s="451">
        <v>1</v>
      </c>
      <c r="P330" s="451">
        <v>1</v>
      </c>
      <c r="Q330" s="451">
        <v>1</v>
      </c>
      <c r="R330" s="451">
        <v>1</v>
      </c>
      <c r="S330" s="346">
        <v>2</v>
      </c>
      <c r="T330" s="346">
        <v>2</v>
      </c>
    </row>
    <row r="331" spans="1:20" s="358" customFormat="1" ht="17.25" customHeight="1">
      <c r="A331" s="340"/>
      <c r="B331" s="340" t="s">
        <v>860</v>
      </c>
      <c r="C331" s="339" t="s">
        <v>846</v>
      </c>
      <c r="D331" s="450">
        <v>5699</v>
      </c>
      <c r="E331" s="450">
        <v>5699</v>
      </c>
      <c r="F331" s="450">
        <v>5699</v>
      </c>
      <c r="G331" s="450">
        <v>5699</v>
      </c>
      <c r="H331" s="450">
        <v>5699</v>
      </c>
      <c r="I331" s="524">
        <v>5699</v>
      </c>
      <c r="J331" s="339">
        <f>5699+280</f>
        <v>5979</v>
      </c>
      <c r="K331" s="339">
        <f>5699+280</f>
        <v>5979</v>
      </c>
      <c r="L331" s="339">
        <f>5699+280</f>
        <v>5979</v>
      </c>
      <c r="M331" s="339">
        <f>5699+280</f>
        <v>5979</v>
      </c>
      <c r="N331" s="339">
        <f>5699+280</f>
        <v>5979</v>
      </c>
      <c r="O331" s="451">
        <v>5979</v>
      </c>
      <c r="P331" s="451">
        <v>5979</v>
      </c>
      <c r="Q331" s="451">
        <v>5979</v>
      </c>
      <c r="R331" s="451">
        <v>5979</v>
      </c>
      <c r="S331" s="346">
        <v>8259</v>
      </c>
      <c r="T331" s="346">
        <v>10324</v>
      </c>
    </row>
    <row r="332" spans="1:20" s="358" customFormat="1" ht="17.25" customHeight="1">
      <c r="A332" s="340"/>
      <c r="B332" s="351" t="s">
        <v>861</v>
      </c>
      <c r="C332" s="340" t="s">
        <v>107</v>
      </c>
      <c r="D332" s="346">
        <v>138</v>
      </c>
      <c r="E332" s="346">
        <v>138</v>
      </c>
      <c r="F332" s="346">
        <v>138</v>
      </c>
      <c r="G332" s="346">
        <v>138</v>
      </c>
      <c r="H332" s="346">
        <v>138</v>
      </c>
      <c r="I332" s="505">
        <v>138</v>
      </c>
      <c r="J332" s="339">
        <f>138+15</f>
        <v>153</v>
      </c>
      <c r="K332" s="339">
        <f>138+15</f>
        <v>153</v>
      </c>
      <c r="L332" s="339">
        <f>138+15</f>
        <v>153</v>
      </c>
      <c r="M332" s="339">
        <f>138+15</f>
        <v>153</v>
      </c>
      <c r="N332" s="339">
        <f>138+15</f>
        <v>153</v>
      </c>
      <c r="O332" s="451">
        <v>153</v>
      </c>
      <c r="P332" s="451">
        <v>153</v>
      </c>
      <c r="Q332" s="451">
        <v>153</v>
      </c>
      <c r="R332" s="451">
        <v>153</v>
      </c>
      <c r="S332" s="346">
        <v>200</v>
      </c>
      <c r="T332" s="346">
        <v>250</v>
      </c>
    </row>
    <row r="333" spans="1:20" s="358" customFormat="1" ht="17.25" customHeight="1">
      <c r="A333" s="350">
        <v>2</v>
      </c>
      <c r="B333" s="307" t="s">
        <v>909</v>
      </c>
      <c r="C333" s="340"/>
      <c r="D333" s="340"/>
      <c r="E333" s="340"/>
      <c r="F333" s="340"/>
      <c r="G333" s="340"/>
      <c r="H333" s="340"/>
      <c r="I333" s="508"/>
      <c r="J333" s="357"/>
      <c r="K333" s="357"/>
      <c r="L333" s="357"/>
      <c r="M333" s="357"/>
      <c r="N333" s="357"/>
      <c r="O333" s="344"/>
      <c r="P333" s="344"/>
      <c r="Q333" s="344"/>
      <c r="R333" s="344"/>
      <c r="S333" s="344"/>
      <c r="T333" s="344"/>
    </row>
    <row r="334" spans="1:20" s="358" customFormat="1" ht="17.25" customHeight="1">
      <c r="A334" s="340"/>
      <c r="B334" s="340" t="s">
        <v>845</v>
      </c>
      <c r="C334" s="340" t="s">
        <v>934</v>
      </c>
      <c r="D334" s="340">
        <v>67788.800000000003</v>
      </c>
      <c r="E334" s="340">
        <v>67788.800000000003</v>
      </c>
      <c r="F334" s="340">
        <v>67788.800000000003</v>
      </c>
      <c r="G334" s="340">
        <v>67788.800000000003</v>
      </c>
      <c r="H334" s="340">
        <v>69233.8</v>
      </c>
      <c r="I334" s="525">
        <v>69233.8</v>
      </c>
      <c r="J334" s="344">
        <v>69233.8</v>
      </c>
      <c r="K334" s="357">
        <v>270164</v>
      </c>
      <c r="L334" s="357">
        <v>270164</v>
      </c>
      <c r="M334" s="357">
        <v>270164</v>
      </c>
      <c r="N334" s="357">
        <v>270164</v>
      </c>
      <c r="O334" s="344">
        <v>270164</v>
      </c>
      <c r="P334" s="344">
        <v>270164</v>
      </c>
      <c r="Q334" s="344">
        <v>270164</v>
      </c>
      <c r="R334" s="344">
        <v>270164</v>
      </c>
      <c r="S334" s="344">
        <v>270164</v>
      </c>
      <c r="T334" s="344">
        <v>270163.8</v>
      </c>
    </row>
    <row r="335" spans="1:20" s="358" customFormat="1" ht="17.25" customHeight="1">
      <c r="A335" s="340"/>
      <c r="B335" s="340" t="s">
        <v>847</v>
      </c>
      <c r="C335" s="340" t="s">
        <v>846</v>
      </c>
      <c r="D335" s="340">
        <v>7937</v>
      </c>
      <c r="E335" s="340">
        <v>7937</v>
      </c>
      <c r="F335" s="340">
        <v>9549</v>
      </c>
      <c r="G335" s="340">
        <v>9549</v>
      </c>
      <c r="H335" s="340">
        <v>9549</v>
      </c>
      <c r="I335" s="525">
        <v>9549</v>
      </c>
      <c r="J335" s="344">
        <v>10842</v>
      </c>
      <c r="K335" s="357">
        <v>10842</v>
      </c>
      <c r="L335" s="357">
        <v>10842</v>
      </c>
      <c r="M335" s="357">
        <v>10842</v>
      </c>
      <c r="N335" s="357">
        <v>11142</v>
      </c>
      <c r="O335" s="344">
        <v>11642</v>
      </c>
      <c r="P335" s="344">
        <v>13142</v>
      </c>
      <c r="Q335" s="344">
        <v>13742</v>
      </c>
      <c r="R335" s="344">
        <v>13942</v>
      </c>
      <c r="S335" s="344">
        <v>28942</v>
      </c>
      <c r="T335" s="344">
        <v>28942</v>
      </c>
    </row>
    <row r="336" spans="1:20" s="358" customFormat="1" ht="17.25" customHeight="1">
      <c r="A336" s="340"/>
      <c r="B336" s="340" t="s">
        <v>848</v>
      </c>
      <c r="C336" s="339" t="s">
        <v>846</v>
      </c>
      <c r="D336" s="339">
        <v>3172</v>
      </c>
      <c r="E336" s="339">
        <v>3172</v>
      </c>
      <c r="F336" s="339">
        <v>3172</v>
      </c>
      <c r="G336" s="339">
        <v>3482</v>
      </c>
      <c r="H336" s="339">
        <v>3482</v>
      </c>
      <c r="I336" s="525">
        <v>3482</v>
      </c>
      <c r="J336" s="344">
        <v>3482</v>
      </c>
      <c r="K336" s="357">
        <v>3482</v>
      </c>
      <c r="L336" s="357">
        <v>3482</v>
      </c>
      <c r="M336" s="357">
        <v>3482</v>
      </c>
      <c r="N336" s="357">
        <v>3482</v>
      </c>
      <c r="O336" s="344">
        <v>3482</v>
      </c>
      <c r="P336" s="344">
        <v>3482</v>
      </c>
      <c r="Q336" s="344">
        <v>3482</v>
      </c>
      <c r="R336" s="344">
        <v>3482</v>
      </c>
      <c r="S336" s="344">
        <v>8982</v>
      </c>
      <c r="T336" s="344">
        <v>8982</v>
      </c>
    </row>
    <row r="337" spans="1:20" s="358" customFormat="1" ht="17.25" customHeight="1">
      <c r="A337" s="340"/>
      <c r="B337" s="351" t="s">
        <v>849</v>
      </c>
      <c r="C337" s="340" t="s">
        <v>107</v>
      </c>
      <c r="D337" s="340">
        <v>21</v>
      </c>
      <c r="E337" s="340">
        <v>21</v>
      </c>
      <c r="F337" s="340">
        <v>21</v>
      </c>
      <c r="G337" s="340">
        <v>25</v>
      </c>
      <c r="H337" s="340">
        <v>25</v>
      </c>
      <c r="I337" s="505">
        <v>25</v>
      </c>
      <c r="J337" s="344">
        <v>25</v>
      </c>
      <c r="K337" s="357">
        <v>25</v>
      </c>
      <c r="L337" s="357">
        <v>25</v>
      </c>
      <c r="M337" s="357">
        <v>25</v>
      </c>
      <c r="N337" s="357">
        <v>25</v>
      </c>
      <c r="O337" s="344">
        <v>25</v>
      </c>
      <c r="P337" s="344">
        <v>25</v>
      </c>
      <c r="Q337" s="344">
        <v>25</v>
      </c>
      <c r="R337" s="344">
        <v>25</v>
      </c>
      <c r="S337" s="344">
        <v>80</v>
      </c>
      <c r="T337" s="344">
        <v>80</v>
      </c>
    </row>
    <row r="338" spans="1:20" s="358" customFormat="1" ht="17.25" customHeight="1">
      <c r="A338" s="340"/>
      <c r="B338" s="340" t="s">
        <v>850</v>
      </c>
      <c r="C338" s="339" t="s">
        <v>846</v>
      </c>
      <c r="D338" s="339">
        <v>81</v>
      </c>
      <c r="E338" s="339">
        <v>81</v>
      </c>
      <c r="F338" s="339">
        <v>81</v>
      </c>
      <c r="G338" s="339">
        <v>81</v>
      </c>
      <c r="H338" s="339">
        <v>81</v>
      </c>
      <c r="I338" s="525">
        <v>81</v>
      </c>
      <c r="J338" s="344">
        <v>81</v>
      </c>
      <c r="K338" s="357">
        <v>81</v>
      </c>
      <c r="L338" s="357">
        <v>81</v>
      </c>
      <c r="M338" s="357">
        <v>81</v>
      </c>
      <c r="N338" s="357">
        <v>261</v>
      </c>
      <c r="O338" s="344">
        <v>261</v>
      </c>
      <c r="P338" s="344">
        <v>261</v>
      </c>
      <c r="Q338" s="344">
        <v>261</v>
      </c>
      <c r="R338" s="344">
        <v>261</v>
      </c>
      <c r="S338" s="344">
        <v>261</v>
      </c>
      <c r="T338" s="344">
        <v>261</v>
      </c>
    </row>
    <row r="339" spans="1:20" s="358" customFormat="1" ht="17.25" customHeight="1">
      <c r="A339" s="340"/>
      <c r="B339" s="351" t="s">
        <v>851</v>
      </c>
      <c r="C339" s="340" t="s">
        <v>107</v>
      </c>
      <c r="D339" s="340">
        <v>1</v>
      </c>
      <c r="E339" s="340">
        <v>1</v>
      </c>
      <c r="F339" s="340">
        <v>1</v>
      </c>
      <c r="G339" s="340">
        <v>1</v>
      </c>
      <c r="H339" s="340">
        <v>1</v>
      </c>
      <c r="I339" s="505">
        <v>1</v>
      </c>
      <c r="J339" s="344">
        <v>1</v>
      </c>
      <c r="K339" s="357">
        <v>1</v>
      </c>
      <c r="L339" s="357">
        <v>1</v>
      </c>
      <c r="M339" s="357">
        <v>1</v>
      </c>
      <c r="N339" s="357">
        <v>7</v>
      </c>
      <c r="O339" s="344">
        <v>7</v>
      </c>
      <c r="P339" s="344">
        <v>7</v>
      </c>
      <c r="Q339" s="344">
        <v>7</v>
      </c>
      <c r="R339" s="344">
        <v>7</v>
      </c>
      <c r="S339" s="344">
        <v>7</v>
      </c>
      <c r="T339" s="344">
        <v>7</v>
      </c>
    </row>
    <row r="340" spans="1:20" s="358" customFormat="1" ht="17.25" customHeight="1">
      <c r="A340" s="340"/>
      <c r="B340" s="340" t="s">
        <v>852</v>
      </c>
      <c r="C340" s="339" t="s">
        <v>846</v>
      </c>
      <c r="D340" s="339"/>
      <c r="E340" s="339"/>
      <c r="F340" s="339"/>
      <c r="G340" s="339"/>
      <c r="H340" s="339"/>
      <c r="I340" s="505">
        <v>0</v>
      </c>
      <c r="J340" s="344"/>
      <c r="K340" s="357"/>
      <c r="L340" s="357"/>
      <c r="M340" s="357"/>
      <c r="N340" s="357"/>
      <c r="O340" s="344"/>
      <c r="P340" s="344"/>
      <c r="Q340" s="344"/>
      <c r="R340" s="344"/>
      <c r="S340" s="344"/>
      <c r="T340" s="344">
        <v>0</v>
      </c>
    </row>
    <row r="341" spans="1:20" s="358" customFormat="1" ht="17.25" customHeight="1">
      <c r="A341" s="340"/>
      <c r="B341" s="351" t="s">
        <v>851</v>
      </c>
      <c r="C341" s="340" t="s">
        <v>107</v>
      </c>
      <c r="D341" s="340"/>
      <c r="E341" s="340"/>
      <c r="F341" s="340"/>
      <c r="G341" s="340"/>
      <c r="H341" s="340"/>
      <c r="I341" s="505">
        <v>0</v>
      </c>
      <c r="J341" s="344"/>
      <c r="K341" s="357"/>
      <c r="L341" s="357"/>
      <c r="M341" s="357"/>
      <c r="N341" s="357"/>
      <c r="O341" s="344"/>
      <c r="P341" s="344"/>
      <c r="Q341" s="344"/>
      <c r="R341" s="344"/>
      <c r="S341" s="344"/>
      <c r="T341" s="344">
        <v>0</v>
      </c>
    </row>
    <row r="342" spans="1:20" s="358" customFormat="1" ht="17.25" customHeight="1">
      <c r="A342" s="340"/>
      <c r="B342" s="340" t="s">
        <v>853</v>
      </c>
      <c r="C342" s="339" t="s">
        <v>846</v>
      </c>
      <c r="D342" s="339">
        <v>461.02</v>
      </c>
      <c r="E342" s="339">
        <v>461.02</v>
      </c>
      <c r="F342" s="339">
        <v>681</v>
      </c>
      <c r="G342" s="339">
        <v>901</v>
      </c>
      <c r="H342" s="339">
        <v>991</v>
      </c>
      <c r="I342" s="525">
        <v>991</v>
      </c>
      <c r="J342" s="344">
        <v>991</v>
      </c>
      <c r="K342" s="357">
        <v>991</v>
      </c>
      <c r="L342" s="357">
        <v>991</v>
      </c>
      <c r="M342" s="357">
        <v>991</v>
      </c>
      <c r="N342" s="357">
        <v>991</v>
      </c>
      <c r="O342" s="357">
        <v>991</v>
      </c>
      <c r="P342" s="357">
        <v>991</v>
      </c>
      <c r="Q342" s="357">
        <v>991</v>
      </c>
      <c r="R342" s="357">
        <v>991</v>
      </c>
      <c r="S342" s="357">
        <v>991</v>
      </c>
      <c r="T342" s="357">
        <v>991</v>
      </c>
    </row>
    <row r="343" spans="1:20" s="358" customFormat="1" ht="17.25" customHeight="1">
      <c r="A343" s="340"/>
      <c r="B343" s="351" t="s">
        <v>851</v>
      </c>
      <c r="C343" s="340" t="s">
        <v>107</v>
      </c>
      <c r="D343" s="340">
        <v>7</v>
      </c>
      <c r="E343" s="340">
        <v>7</v>
      </c>
      <c r="F343" s="340">
        <v>8</v>
      </c>
      <c r="G343" s="340">
        <v>9</v>
      </c>
      <c r="H343" s="340">
        <v>10</v>
      </c>
      <c r="I343" s="508">
        <v>10</v>
      </c>
      <c r="J343" s="344">
        <v>10</v>
      </c>
      <c r="K343" s="357">
        <v>16</v>
      </c>
      <c r="L343" s="357">
        <v>16</v>
      </c>
      <c r="M343" s="357">
        <v>16</v>
      </c>
      <c r="N343" s="357">
        <v>16</v>
      </c>
      <c r="O343" s="357">
        <v>16</v>
      </c>
      <c r="P343" s="357">
        <v>16</v>
      </c>
      <c r="Q343" s="357">
        <v>16</v>
      </c>
      <c r="R343" s="357">
        <v>16</v>
      </c>
      <c r="S343" s="357">
        <v>26</v>
      </c>
      <c r="T343" s="357">
        <v>26</v>
      </c>
    </row>
    <row r="344" spans="1:20" s="358" customFormat="1" ht="17.25" customHeight="1">
      <c r="A344" s="340"/>
      <c r="B344" s="340" t="s">
        <v>854</v>
      </c>
      <c r="C344" s="340"/>
      <c r="D344" s="340"/>
      <c r="E344" s="340"/>
      <c r="F344" s="340"/>
      <c r="G344" s="340"/>
      <c r="H344" s="340"/>
      <c r="I344" s="515"/>
      <c r="J344" s="344"/>
      <c r="K344" s="357"/>
      <c r="L344" s="357"/>
      <c r="M344" s="357"/>
      <c r="N344" s="357"/>
      <c r="O344" s="357"/>
      <c r="P344" s="357"/>
      <c r="Q344" s="357"/>
      <c r="R344" s="357"/>
      <c r="S344" s="357"/>
      <c r="T344" s="357">
        <v>0</v>
      </c>
    </row>
    <row r="345" spans="1:20" s="358" customFormat="1" ht="17.25" customHeight="1">
      <c r="A345" s="340"/>
      <c r="B345" s="351" t="s">
        <v>935</v>
      </c>
      <c r="C345" s="339" t="s">
        <v>846</v>
      </c>
      <c r="D345" s="339">
        <v>2535</v>
      </c>
      <c r="E345" s="339">
        <v>2535</v>
      </c>
      <c r="F345" s="339">
        <v>2535</v>
      </c>
      <c r="G345" s="339">
        <v>2481</v>
      </c>
      <c r="H345" s="339">
        <v>2481</v>
      </c>
      <c r="I345" s="526">
        <v>2841</v>
      </c>
      <c r="J345" s="452">
        <v>2841</v>
      </c>
      <c r="K345" s="357">
        <v>2841</v>
      </c>
      <c r="L345" s="357">
        <v>2841</v>
      </c>
      <c r="M345" s="357">
        <v>2841</v>
      </c>
      <c r="N345" s="357">
        <v>2841</v>
      </c>
      <c r="O345" s="357">
        <v>2841</v>
      </c>
      <c r="P345" s="357">
        <v>4101</v>
      </c>
      <c r="Q345" s="357">
        <v>4101</v>
      </c>
      <c r="R345" s="357">
        <v>4101</v>
      </c>
      <c r="S345" s="357">
        <v>4101</v>
      </c>
      <c r="T345" s="357">
        <v>4101</v>
      </c>
    </row>
    <row r="346" spans="1:20" s="358" customFormat="1" ht="17.25" customHeight="1">
      <c r="A346" s="340"/>
      <c r="B346" s="351" t="s">
        <v>851</v>
      </c>
      <c r="C346" s="340" t="s">
        <v>107</v>
      </c>
      <c r="D346" s="340">
        <v>28</v>
      </c>
      <c r="E346" s="340">
        <v>28</v>
      </c>
      <c r="F346" s="340">
        <v>28</v>
      </c>
      <c r="G346" s="340">
        <v>41</v>
      </c>
      <c r="H346" s="340">
        <v>41</v>
      </c>
      <c r="I346" s="508">
        <v>41</v>
      </c>
      <c r="J346" s="452">
        <v>41</v>
      </c>
      <c r="K346" s="357">
        <v>41</v>
      </c>
      <c r="L346" s="357">
        <v>41</v>
      </c>
      <c r="M346" s="357">
        <v>41</v>
      </c>
      <c r="N346" s="357">
        <v>41</v>
      </c>
      <c r="O346" s="357">
        <v>41</v>
      </c>
      <c r="P346" s="357">
        <v>111</v>
      </c>
      <c r="Q346" s="357">
        <v>111</v>
      </c>
      <c r="R346" s="357">
        <v>111</v>
      </c>
      <c r="S346" s="357">
        <v>111</v>
      </c>
      <c r="T346" s="357">
        <v>111</v>
      </c>
    </row>
    <row r="347" spans="1:20" s="358" customFormat="1" ht="17.25" customHeight="1">
      <c r="A347" s="340"/>
      <c r="B347" s="340" t="s">
        <v>856</v>
      </c>
      <c r="C347" s="339" t="s">
        <v>846</v>
      </c>
      <c r="D347" s="339">
        <v>398</v>
      </c>
      <c r="E347" s="339">
        <v>398</v>
      </c>
      <c r="F347" s="339">
        <v>398</v>
      </c>
      <c r="G347" s="339">
        <v>398</v>
      </c>
      <c r="H347" s="339">
        <v>498</v>
      </c>
      <c r="I347" s="508">
        <v>498</v>
      </c>
      <c r="J347" s="452">
        <v>498</v>
      </c>
      <c r="K347" s="357">
        <v>498</v>
      </c>
      <c r="L347" s="357">
        <v>498</v>
      </c>
      <c r="M347" s="357">
        <v>498</v>
      </c>
      <c r="N347" s="357">
        <v>498</v>
      </c>
      <c r="O347" s="357">
        <v>498</v>
      </c>
      <c r="P347" s="357">
        <v>498</v>
      </c>
      <c r="Q347" s="357">
        <v>498</v>
      </c>
      <c r="R347" s="357">
        <v>498</v>
      </c>
      <c r="S347" s="357">
        <v>1098</v>
      </c>
      <c r="T347" s="357">
        <v>1098</v>
      </c>
    </row>
    <row r="348" spans="1:20" s="358" customFormat="1" ht="17.25" customHeight="1">
      <c r="A348" s="340"/>
      <c r="B348" s="351" t="s">
        <v>851</v>
      </c>
      <c r="C348" s="340" t="s">
        <v>107</v>
      </c>
      <c r="D348" s="340">
        <v>1</v>
      </c>
      <c r="E348" s="340">
        <v>1</v>
      </c>
      <c r="F348" s="340">
        <v>1</v>
      </c>
      <c r="G348" s="340">
        <v>1</v>
      </c>
      <c r="H348" s="340">
        <v>1</v>
      </c>
      <c r="I348" s="508">
        <v>1</v>
      </c>
      <c r="J348" s="452">
        <v>1</v>
      </c>
      <c r="K348" s="357">
        <v>1</v>
      </c>
      <c r="L348" s="357">
        <v>1</v>
      </c>
      <c r="M348" s="357">
        <v>1</v>
      </c>
      <c r="N348" s="357">
        <v>1</v>
      </c>
      <c r="O348" s="357">
        <v>1</v>
      </c>
      <c r="P348" s="357">
        <v>1</v>
      </c>
      <c r="Q348" s="357">
        <v>1</v>
      </c>
      <c r="R348" s="357">
        <v>1</v>
      </c>
      <c r="S348" s="357">
        <v>2</v>
      </c>
      <c r="T348" s="357">
        <v>2</v>
      </c>
    </row>
    <row r="349" spans="1:20" s="358" customFormat="1" ht="17.25" customHeight="1">
      <c r="A349" s="340"/>
      <c r="B349" s="340" t="s">
        <v>857</v>
      </c>
      <c r="C349" s="339" t="s">
        <v>846</v>
      </c>
      <c r="D349" s="339">
        <v>60</v>
      </c>
      <c r="E349" s="339">
        <v>60</v>
      </c>
      <c r="F349" s="339">
        <v>60</v>
      </c>
      <c r="G349" s="339">
        <v>60</v>
      </c>
      <c r="H349" s="339">
        <v>60</v>
      </c>
      <c r="I349" s="508">
        <v>60</v>
      </c>
      <c r="J349" s="452">
        <v>60</v>
      </c>
      <c r="K349" s="357">
        <v>60</v>
      </c>
      <c r="L349" s="357">
        <v>1127</v>
      </c>
      <c r="M349" s="357">
        <v>1127</v>
      </c>
      <c r="N349" s="357">
        <v>1127</v>
      </c>
      <c r="O349" s="357">
        <v>1127</v>
      </c>
      <c r="P349" s="357">
        <v>1127</v>
      </c>
      <c r="Q349" s="357">
        <v>1127</v>
      </c>
      <c r="R349" s="357">
        <v>1127</v>
      </c>
      <c r="S349" s="357">
        <v>1127</v>
      </c>
      <c r="T349" s="357">
        <v>1127</v>
      </c>
    </row>
    <row r="350" spans="1:20" s="358" customFormat="1" ht="17.25" customHeight="1">
      <c r="A350" s="340"/>
      <c r="B350" s="351" t="s">
        <v>851</v>
      </c>
      <c r="C350" s="340" t="s">
        <v>107</v>
      </c>
      <c r="D350" s="340">
        <v>1</v>
      </c>
      <c r="E350" s="340">
        <v>1</v>
      </c>
      <c r="F350" s="340">
        <v>1</v>
      </c>
      <c r="G350" s="340">
        <v>1</v>
      </c>
      <c r="H350" s="340">
        <v>1</v>
      </c>
      <c r="I350" s="508">
        <v>1</v>
      </c>
      <c r="J350" s="452">
        <v>1</v>
      </c>
      <c r="K350" s="357">
        <v>1</v>
      </c>
      <c r="L350" s="357">
        <v>21</v>
      </c>
      <c r="M350" s="357">
        <v>21</v>
      </c>
      <c r="N350" s="357">
        <v>21</v>
      </c>
      <c r="O350" s="357">
        <v>21</v>
      </c>
      <c r="P350" s="357">
        <v>21</v>
      </c>
      <c r="Q350" s="357">
        <v>21</v>
      </c>
      <c r="R350" s="357">
        <v>21</v>
      </c>
      <c r="S350" s="357">
        <v>21</v>
      </c>
      <c r="T350" s="357">
        <v>21</v>
      </c>
    </row>
    <row r="351" spans="1:20" s="358" customFormat="1" ht="17.25" customHeight="1">
      <c r="A351" s="340"/>
      <c r="B351" s="340" t="s">
        <v>858</v>
      </c>
      <c r="C351" s="339" t="s">
        <v>846</v>
      </c>
      <c r="D351" s="339">
        <v>757</v>
      </c>
      <c r="E351" s="339">
        <v>757</v>
      </c>
      <c r="F351" s="339">
        <v>757</v>
      </c>
      <c r="G351" s="339">
        <v>757</v>
      </c>
      <c r="H351" s="339">
        <v>757</v>
      </c>
      <c r="I351" s="525">
        <v>757</v>
      </c>
      <c r="J351" s="452">
        <v>757</v>
      </c>
      <c r="K351" s="357">
        <v>757</v>
      </c>
      <c r="L351" s="357">
        <v>757</v>
      </c>
      <c r="M351" s="357">
        <v>757</v>
      </c>
      <c r="N351" s="357">
        <v>757</v>
      </c>
      <c r="O351" s="357">
        <v>757</v>
      </c>
      <c r="P351" s="357">
        <v>757</v>
      </c>
      <c r="Q351" s="357">
        <v>757</v>
      </c>
      <c r="R351" s="357">
        <v>757</v>
      </c>
      <c r="S351" s="357">
        <v>1257</v>
      </c>
      <c r="T351" s="357">
        <v>1257</v>
      </c>
    </row>
    <row r="352" spans="1:20" s="358" customFormat="1" ht="17.25" customHeight="1">
      <c r="A352" s="340"/>
      <c r="B352" s="351" t="s">
        <v>859</v>
      </c>
      <c r="C352" s="340" t="s">
        <v>307</v>
      </c>
      <c r="D352" s="340">
        <v>1</v>
      </c>
      <c r="E352" s="340">
        <v>1</v>
      </c>
      <c r="F352" s="340">
        <v>1</v>
      </c>
      <c r="G352" s="340">
        <v>1</v>
      </c>
      <c r="H352" s="340">
        <v>1</v>
      </c>
      <c r="I352" s="508">
        <v>1</v>
      </c>
      <c r="J352" s="452">
        <v>1</v>
      </c>
      <c r="K352" s="357">
        <v>1</v>
      </c>
      <c r="L352" s="357">
        <v>1</v>
      </c>
      <c r="M352" s="357">
        <v>1</v>
      </c>
      <c r="N352" s="357">
        <v>1</v>
      </c>
      <c r="O352" s="357">
        <v>1</v>
      </c>
      <c r="P352" s="357">
        <v>1</v>
      </c>
      <c r="Q352" s="357">
        <v>1</v>
      </c>
      <c r="R352" s="357">
        <v>1</v>
      </c>
      <c r="S352" s="357">
        <v>2</v>
      </c>
      <c r="T352" s="357">
        <v>2</v>
      </c>
    </row>
    <row r="353" spans="1:20" s="358" customFormat="1" ht="17.25" customHeight="1">
      <c r="A353" s="340"/>
      <c r="B353" s="340" t="s">
        <v>860</v>
      </c>
      <c r="C353" s="339" t="s">
        <v>846</v>
      </c>
      <c r="D353" s="339">
        <v>1354</v>
      </c>
      <c r="E353" s="339">
        <v>1354</v>
      </c>
      <c r="F353" s="339">
        <v>2650</v>
      </c>
      <c r="G353" s="339">
        <v>2650</v>
      </c>
      <c r="H353" s="339">
        <v>2650</v>
      </c>
      <c r="I353" s="525">
        <v>2650</v>
      </c>
      <c r="J353" s="452">
        <v>2650</v>
      </c>
      <c r="K353" s="357">
        <v>2650</v>
      </c>
      <c r="L353" s="357">
        <v>2650</v>
      </c>
      <c r="M353" s="357">
        <v>2650</v>
      </c>
      <c r="N353" s="357">
        <v>2650</v>
      </c>
      <c r="O353" s="357">
        <v>2650</v>
      </c>
      <c r="P353" s="357">
        <v>2650</v>
      </c>
      <c r="Q353" s="357">
        <v>2650</v>
      </c>
      <c r="R353" s="357">
        <v>2650</v>
      </c>
      <c r="S353" s="357">
        <v>2650</v>
      </c>
      <c r="T353" s="357">
        <v>5300</v>
      </c>
    </row>
    <row r="354" spans="1:20" s="358" customFormat="1" ht="17.25" customHeight="1">
      <c r="A354" s="340"/>
      <c r="B354" s="351" t="s">
        <v>861</v>
      </c>
      <c r="C354" s="340" t="s">
        <v>107</v>
      </c>
      <c r="D354" s="340">
        <v>33</v>
      </c>
      <c r="E354" s="340">
        <v>33</v>
      </c>
      <c r="F354" s="340">
        <v>57</v>
      </c>
      <c r="G354" s="340">
        <v>57</v>
      </c>
      <c r="H354" s="340">
        <v>57</v>
      </c>
      <c r="I354" s="508">
        <v>57</v>
      </c>
      <c r="J354" s="452">
        <v>57</v>
      </c>
      <c r="K354" s="357">
        <v>57</v>
      </c>
      <c r="L354" s="357">
        <v>57</v>
      </c>
      <c r="M354" s="357">
        <v>57</v>
      </c>
      <c r="N354" s="357">
        <v>57</v>
      </c>
      <c r="O354" s="357">
        <v>57</v>
      </c>
      <c r="P354" s="357">
        <v>57</v>
      </c>
      <c r="Q354" s="357">
        <v>57</v>
      </c>
      <c r="R354" s="357">
        <v>57</v>
      </c>
      <c r="S354" s="357">
        <v>112</v>
      </c>
      <c r="T354" s="357">
        <v>112</v>
      </c>
    </row>
    <row r="355" spans="1:20" s="358" customFormat="1" ht="17.25" customHeight="1">
      <c r="A355" s="350">
        <v>3</v>
      </c>
      <c r="B355" s="313" t="s">
        <v>936</v>
      </c>
      <c r="C355" s="340"/>
      <c r="D355" s="340"/>
      <c r="E355" s="340"/>
      <c r="F355" s="340"/>
      <c r="G355" s="340"/>
      <c r="H355" s="340"/>
      <c r="I355" s="508"/>
      <c r="J355" s="340"/>
      <c r="K355" s="340"/>
      <c r="L355" s="340"/>
      <c r="M355" s="340"/>
      <c r="N355" s="340"/>
      <c r="O355" s="339"/>
      <c r="P355" s="339"/>
      <c r="Q355" s="339"/>
      <c r="R355" s="339"/>
      <c r="S355" s="339"/>
      <c r="T355" s="339"/>
    </row>
    <row r="356" spans="1:20" s="358" customFormat="1" ht="17.25" customHeight="1">
      <c r="A356" s="340"/>
      <c r="B356" s="340" t="s">
        <v>845</v>
      </c>
      <c r="C356" s="340" t="s">
        <v>846</v>
      </c>
      <c r="D356" s="340">
        <v>21635</v>
      </c>
      <c r="E356" s="340">
        <v>21635</v>
      </c>
      <c r="F356" s="340">
        <v>21635</v>
      </c>
      <c r="G356" s="340">
        <v>21635</v>
      </c>
      <c r="H356" s="340">
        <v>21635</v>
      </c>
      <c r="I356" s="508">
        <v>21635</v>
      </c>
      <c r="J356" s="340">
        <v>21635</v>
      </c>
      <c r="K356" s="340">
        <v>21635</v>
      </c>
      <c r="L356" s="340">
        <v>21635</v>
      </c>
      <c r="M356" s="340">
        <v>21635</v>
      </c>
      <c r="N356" s="340">
        <v>21635</v>
      </c>
      <c r="O356" s="340">
        <v>21635</v>
      </c>
      <c r="P356" s="340">
        <v>21635</v>
      </c>
      <c r="Q356" s="340">
        <v>21635</v>
      </c>
      <c r="R356" s="340">
        <v>21635</v>
      </c>
      <c r="S356" s="340">
        <v>21635</v>
      </c>
      <c r="T356" s="340">
        <v>21635</v>
      </c>
    </row>
    <row r="357" spans="1:20" s="358" customFormat="1" ht="17.25" customHeight="1">
      <c r="A357" s="340"/>
      <c r="B357" s="340" t="s">
        <v>847</v>
      </c>
      <c r="C357" s="340" t="s">
        <v>846</v>
      </c>
      <c r="D357" s="373">
        <v>6921</v>
      </c>
      <c r="E357" s="373">
        <v>6921</v>
      </c>
      <c r="F357" s="373">
        <v>6921</v>
      </c>
      <c r="G357" s="373">
        <v>6921</v>
      </c>
      <c r="H357" s="373">
        <v>6921</v>
      </c>
      <c r="I357" s="508">
        <v>6921</v>
      </c>
      <c r="J357" s="373">
        <v>6921</v>
      </c>
      <c r="K357" s="373">
        <v>6921</v>
      </c>
      <c r="L357" s="373">
        <v>6921</v>
      </c>
      <c r="M357" s="373">
        <v>6921</v>
      </c>
      <c r="N357" s="373">
        <v>6921</v>
      </c>
      <c r="O357" s="373">
        <v>6921</v>
      </c>
      <c r="P357" s="373">
        <v>6921</v>
      </c>
      <c r="Q357" s="373">
        <v>6921</v>
      </c>
      <c r="R357" s="373">
        <v>6921</v>
      </c>
      <c r="S357" s="373">
        <v>6921</v>
      </c>
      <c r="T357" s="373">
        <v>6921</v>
      </c>
    </row>
    <row r="358" spans="1:20" s="358" customFormat="1" ht="17.25" customHeight="1">
      <c r="A358" s="340"/>
      <c r="B358" s="340" t="s">
        <v>848</v>
      </c>
      <c r="C358" s="339" t="s">
        <v>846</v>
      </c>
      <c r="D358" s="373">
        <v>2635</v>
      </c>
      <c r="E358" s="373">
        <v>2635</v>
      </c>
      <c r="F358" s="373">
        <v>2635</v>
      </c>
      <c r="G358" s="373">
        <v>2635</v>
      </c>
      <c r="H358" s="373">
        <v>2635</v>
      </c>
      <c r="I358" s="508">
        <v>2635</v>
      </c>
      <c r="J358" s="373">
        <v>2635</v>
      </c>
      <c r="K358" s="373">
        <v>2635</v>
      </c>
      <c r="L358" s="373">
        <v>2635</v>
      </c>
      <c r="M358" s="373">
        <v>2635</v>
      </c>
      <c r="N358" s="373">
        <v>2635</v>
      </c>
      <c r="O358" s="373">
        <v>2635</v>
      </c>
      <c r="P358" s="373">
        <v>2635</v>
      </c>
      <c r="Q358" s="373">
        <v>2635</v>
      </c>
      <c r="R358" s="373">
        <v>2635</v>
      </c>
      <c r="S358" s="373">
        <v>2635</v>
      </c>
      <c r="T358" s="373">
        <v>2635</v>
      </c>
    </row>
    <row r="359" spans="1:20" s="358" customFormat="1" ht="17.25" customHeight="1">
      <c r="A359" s="340"/>
      <c r="B359" s="351" t="s">
        <v>849</v>
      </c>
      <c r="C359" s="340" t="s">
        <v>107</v>
      </c>
      <c r="D359" s="373">
        <v>36</v>
      </c>
      <c r="E359" s="373">
        <v>36</v>
      </c>
      <c r="F359" s="373">
        <v>36</v>
      </c>
      <c r="G359" s="373">
        <v>36</v>
      </c>
      <c r="H359" s="373">
        <v>36</v>
      </c>
      <c r="I359" s="508">
        <v>36</v>
      </c>
      <c r="J359" s="373">
        <v>36</v>
      </c>
      <c r="K359" s="373">
        <v>36</v>
      </c>
      <c r="L359" s="373">
        <v>36</v>
      </c>
      <c r="M359" s="373">
        <v>36</v>
      </c>
      <c r="N359" s="373">
        <v>36</v>
      </c>
      <c r="O359" s="373">
        <v>36</v>
      </c>
      <c r="P359" s="373">
        <v>36</v>
      </c>
      <c r="Q359" s="373">
        <v>36</v>
      </c>
      <c r="R359" s="373">
        <v>36</v>
      </c>
      <c r="S359" s="373">
        <v>36</v>
      </c>
      <c r="T359" s="373">
        <v>36</v>
      </c>
    </row>
    <row r="360" spans="1:20" s="358" customFormat="1" ht="17.25" customHeight="1">
      <c r="A360" s="340"/>
      <c r="B360" s="340" t="s">
        <v>850</v>
      </c>
      <c r="C360" s="339" t="s">
        <v>846</v>
      </c>
      <c r="D360" s="373">
        <v>200</v>
      </c>
      <c r="E360" s="373">
        <v>200</v>
      </c>
      <c r="F360" s="373">
        <v>200</v>
      </c>
      <c r="G360" s="373">
        <v>200</v>
      </c>
      <c r="H360" s="373">
        <v>200</v>
      </c>
      <c r="I360" s="508">
        <v>200</v>
      </c>
      <c r="J360" s="373">
        <v>200</v>
      </c>
      <c r="K360" s="373">
        <v>200</v>
      </c>
      <c r="L360" s="373">
        <v>200</v>
      </c>
      <c r="M360" s="373">
        <v>200</v>
      </c>
      <c r="N360" s="373">
        <v>200</v>
      </c>
      <c r="O360" s="373">
        <v>200</v>
      </c>
      <c r="P360" s="373">
        <v>200</v>
      </c>
      <c r="Q360" s="373">
        <v>200</v>
      </c>
      <c r="R360" s="373">
        <v>200</v>
      </c>
      <c r="S360" s="373">
        <v>200</v>
      </c>
      <c r="T360" s="373">
        <v>200</v>
      </c>
    </row>
    <row r="361" spans="1:20" s="358" customFormat="1" ht="17.25" customHeight="1">
      <c r="A361" s="340"/>
      <c r="B361" s="351" t="s">
        <v>851</v>
      </c>
      <c r="C361" s="340" t="s">
        <v>107</v>
      </c>
      <c r="D361" s="373">
        <v>5</v>
      </c>
      <c r="E361" s="373">
        <v>5</v>
      </c>
      <c r="F361" s="373">
        <v>5</v>
      </c>
      <c r="G361" s="373">
        <v>5</v>
      </c>
      <c r="H361" s="373">
        <v>5</v>
      </c>
      <c r="I361" s="508">
        <v>5</v>
      </c>
      <c r="J361" s="373">
        <v>5</v>
      </c>
      <c r="K361" s="373">
        <v>5</v>
      </c>
      <c r="L361" s="373">
        <v>5</v>
      </c>
      <c r="M361" s="373">
        <v>5</v>
      </c>
      <c r="N361" s="373">
        <v>5</v>
      </c>
      <c r="O361" s="373">
        <v>5</v>
      </c>
      <c r="P361" s="373">
        <v>5</v>
      </c>
      <c r="Q361" s="373">
        <v>5</v>
      </c>
      <c r="R361" s="373">
        <v>5</v>
      </c>
      <c r="S361" s="373">
        <v>5</v>
      </c>
      <c r="T361" s="373">
        <v>5</v>
      </c>
    </row>
    <row r="362" spans="1:20" s="358" customFormat="1" ht="17.25" customHeight="1">
      <c r="A362" s="340"/>
      <c r="B362" s="453" t="s">
        <v>937</v>
      </c>
      <c r="C362" s="339" t="s">
        <v>846</v>
      </c>
      <c r="D362" s="373"/>
      <c r="E362" s="373"/>
      <c r="F362" s="373"/>
      <c r="G362" s="373"/>
      <c r="H362" s="373"/>
      <c r="I362" s="508"/>
      <c r="J362" s="373"/>
      <c r="K362" s="373"/>
      <c r="L362" s="373">
        <v>564</v>
      </c>
      <c r="M362" s="373">
        <v>564</v>
      </c>
      <c r="N362" s="373">
        <v>564</v>
      </c>
      <c r="O362" s="373">
        <v>564</v>
      </c>
      <c r="P362" s="373">
        <v>564</v>
      </c>
      <c r="Q362" s="373">
        <v>564</v>
      </c>
      <c r="R362" s="373">
        <v>564</v>
      </c>
      <c r="S362" s="373">
        <v>564</v>
      </c>
      <c r="T362" s="373">
        <v>564</v>
      </c>
    </row>
    <row r="363" spans="1:20" s="358" customFormat="1" ht="17.25" customHeight="1">
      <c r="A363" s="340"/>
      <c r="B363" s="351" t="s">
        <v>851</v>
      </c>
      <c r="C363" s="340" t="s">
        <v>107</v>
      </c>
      <c r="D363" s="373"/>
      <c r="E363" s="373"/>
      <c r="F363" s="373"/>
      <c r="G363" s="373"/>
      <c r="H363" s="373"/>
      <c r="I363" s="508"/>
      <c r="J363" s="373"/>
      <c r="K363" s="373"/>
      <c r="L363" s="373">
        <v>9</v>
      </c>
      <c r="M363" s="373">
        <v>9</v>
      </c>
      <c r="N363" s="373">
        <v>9</v>
      </c>
      <c r="O363" s="373">
        <v>9</v>
      </c>
      <c r="P363" s="373">
        <v>9</v>
      </c>
      <c r="Q363" s="373">
        <v>9</v>
      </c>
      <c r="R363" s="373">
        <v>9</v>
      </c>
      <c r="S363" s="373">
        <v>9</v>
      </c>
      <c r="T363" s="373">
        <v>9</v>
      </c>
    </row>
    <row r="364" spans="1:20" s="358" customFormat="1" ht="17.25" customHeight="1">
      <c r="A364" s="340"/>
      <c r="B364" s="340" t="s">
        <v>853</v>
      </c>
      <c r="C364" s="339" t="s">
        <v>846</v>
      </c>
      <c r="D364" s="373">
        <v>585</v>
      </c>
      <c r="E364" s="373">
        <v>585</v>
      </c>
      <c r="F364" s="373">
        <v>585</v>
      </c>
      <c r="G364" s="373">
        <v>585</v>
      </c>
      <c r="H364" s="373">
        <v>585</v>
      </c>
      <c r="I364" s="508">
        <v>585</v>
      </c>
      <c r="J364" s="373">
        <v>585</v>
      </c>
      <c r="K364" s="373">
        <v>585</v>
      </c>
      <c r="L364" s="373">
        <v>585</v>
      </c>
      <c r="M364" s="373">
        <v>585</v>
      </c>
      <c r="N364" s="373">
        <v>585</v>
      </c>
      <c r="O364" s="373">
        <v>585</v>
      </c>
      <c r="P364" s="373">
        <v>585</v>
      </c>
      <c r="Q364" s="373">
        <v>585</v>
      </c>
      <c r="R364" s="373">
        <v>585</v>
      </c>
      <c r="S364" s="373">
        <v>585</v>
      </c>
      <c r="T364" s="373">
        <v>585</v>
      </c>
    </row>
    <row r="365" spans="1:20" s="358" customFormat="1" ht="17.25" customHeight="1">
      <c r="A365" s="340"/>
      <c r="B365" s="351" t="s">
        <v>938</v>
      </c>
      <c r="C365" s="340" t="s">
        <v>939</v>
      </c>
      <c r="D365" s="373">
        <v>1</v>
      </c>
      <c r="E365" s="373">
        <v>1</v>
      </c>
      <c r="F365" s="373">
        <v>1</v>
      </c>
      <c r="G365" s="373">
        <v>1</v>
      </c>
      <c r="H365" s="373">
        <v>1</v>
      </c>
      <c r="I365" s="508">
        <v>1</v>
      </c>
      <c r="J365" s="373">
        <v>1</v>
      </c>
      <c r="K365" s="373">
        <v>1</v>
      </c>
      <c r="L365" s="373">
        <v>1</v>
      </c>
      <c r="M365" s="373">
        <v>1</v>
      </c>
      <c r="N365" s="373">
        <v>1</v>
      </c>
      <c r="O365" s="373">
        <v>1</v>
      </c>
      <c r="P365" s="373">
        <v>1</v>
      </c>
      <c r="Q365" s="373">
        <v>1</v>
      </c>
      <c r="R365" s="373">
        <v>1</v>
      </c>
      <c r="S365" s="373">
        <v>1</v>
      </c>
      <c r="T365" s="373">
        <v>1</v>
      </c>
    </row>
    <row r="366" spans="1:20" s="358" customFormat="1" ht="17.25" customHeight="1">
      <c r="A366" s="340"/>
      <c r="B366" s="340" t="s">
        <v>854</v>
      </c>
      <c r="C366" s="340"/>
      <c r="D366" s="373"/>
      <c r="E366" s="373"/>
      <c r="F366" s="373"/>
      <c r="G366" s="373"/>
      <c r="H366" s="373"/>
      <c r="I366" s="508"/>
      <c r="J366" s="373"/>
      <c r="K366" s="373"/>
      <c r="L366" s="373"/>
      <c r="M366" s="373"/>
      <c r="N366" s="373"/>
      <c r="O366" s="373"/>
      <c r="P366" s="373"/>
      <c r="Q366" s="373"/>
      <c r="R366" s="373"/>
      <c r="S366" s="373"/>
      <c r="T366" s="373"/>
    </row>
    <row r="367" spans="1:20" s="358" customFormat="1" ht="17.25" customHeight="1">
      <c r="A367" s="340"/>
      <c r="B367" s="351" t="s">
        <v>935</v>
      </c>
      <c r="C367" s="339" t="s">
        <v>846</v>
      </c>
      <c r="D367" s="373">
        <v>813</v>
      </c>
      <c r="E367" s="373">
        <v>813</v>
      </c>
      <c r="F367" s="373">
        <v>813</v>
      </c>
      <c r="G367" s="373">
        <v>813</v>
      </c>
      <c r="H367" s="373">
        <v>813</v>
      </c>
      <c r="I367" s="508">
        <v>813</v>
      </c>
      <c r="J367" s="373">
        <v>813</v>
      </c>
      <c r="K367" s="373">
        <v>813</v>
      </c>
      <c r="L367" s="373">
        <v>813</v>
      </c>
      <c r="M367" s="373">
        <v>813</v>
      </c>
      <c r="N367" s="373">
        <v>813</v>
      </c>
      <c r="O367" s="373">
        <v>813</v>
      </c>
      <c r="P367" s="373">
        <v>813</v>
      </c>
      <c r="Q367" s="373">
        <v>813</v>
      </c>
      <c r="R367" s="373">
        <v>813</v>
      </c>
      <c r="S367" s="373">
        <v>813</v>
      </c>
      <c r="T367" s="373">
        <v>813</v>
      </c>
    </row>
    <row r="368" spans="1:20" s="358" customFormat="1" ht="17.25" customHeight="1">
      <c r="A368" s="340"/>
      <c r="B368" s="351" t="s">
        <v>851</v>
      </c>
      <c r="C368" s="340" t="s">
        <v>107</v>
      </c>
      <c r="D368" s="373">
        <v>15</v>
      </c>
      <c r="E368" s="373">
        <v>15</v>
      </c>
      <c r="F368" s="373">
        <v>15</v>
      </c>
      <c r="G368" s="373">
        <v>15</v>
      </c>
      <c r="H368" s="373">
        <v>15</v>
      </c>
      <c r="I368" s="508">
        <v>15</v>
      </c>
      <c r="J368" s="373">
        <v>15</v>
      </c>
      <c r="K368" s="373">
        <v>15</v>
      </c>
      <c r="L368" s="373">
        <v>15</v>
      </c>
      <c r="M368" s="373">
        <v>15</v>
      </c>
      <c r="N368" s="373">
        <v>15</v>
      </c>
      <c r="O368" s="373">
        <v>15</v>
      </c>
      <c r="P368" s="373">
        <v>15</v>
      </c>
      <c r="Q368" s="373">
        <v>15</v>
      </c>
      <c r="R368" s="373">
        <v>15</v>
      </c>
      <c r="S368" s="373">
        <v>15</v>
      </c>
      <c r="T368" s="373">
        <v>15</v>
      </c>
    </row>
    <row r="369" spans="1:20" s="358" customFormat="1" ht="17.25" customHeight="1">
      <c r="A369" s="340"/>
      <c r="B369" s="340" t="s">
        <v>856</v>
      </c>
      <c r="C369" s="339" t="s">
        <v>846</v>
      </c>
      <c r="D369" s="373">
        <v>455</v>
      </c>
      <c r="E369" s="373">
        <v>455</v>
      </c>
      <c r="F369" s="373">
        <v>455</v>
      </c>
      <c r="G369" s="373">
        <v>455</v>
      </c>
      <c r="H369" s="373">
        <v>455</v>
      </c>
      <c r="I369" s="508">
        <v>455</v>
      </c>
      <c r="J369" s="373">
        <v>455</v>
      </c>
      <c r="K369" s="373">
        <v>455</v>
      </c>
      <c r="L369" s="373">
        <v>455</v>
      </c>
      <c r="M369" s="373">
        <v>455</v>
      </c>
      <c r="N369" s="373">
        <v>455</v>
      </c>
      <c r="O369" s="373">
        <v>455</v>
      </c>
      <c r="P369" s="373">
        <v>455</v>
      </c>
      <c r="Q369" s="373">
        <v>455</v>
      </c>
      <c r="R369" s="373">
        <v>455</v>
      </c>
      <c r="S369" s="373">
        <v>455</v>
      </c>
      <c r="T369" s="373">
        <v>455</v>
      </c>
    </row>
    <row r="370" spans="1:20" s="358" customFormat="1" ht="17.25" customHeight="1">
      <c r="A370" s="340"/>
      <c r="B370" s="351" t="s">
        <v>851</v>
      </c>
      <c r="C370" s="340" t="s">
        <v>107</v>
      </c>
      <c r="D370" s="373">
        <v>1</v>
      </c>
      <c r="E370" s="373">
        <v>1</v>
      </c>
      <c r="F370" s="373">
        <v>1</v>
      </c>
      <c r="G370" s="373">
        <v>1</v>
      </c>
      <c r="H370" s="373">
        <v>1</v>
      </c>
      <c r="I370" s="508">
        <v>1</v>
      </c>
      <c r="J370" s="373">
        <v>1</v>
      </c>
      <c r="K370" s="373">
        <v>1</v>
      </c>
      <c r="L370" s="373">
        <v>1</v>
      </c>
      <c r="M370" s="373">
        <v>1</v>
      </c>
      <c r="N370" s="373">
        <v>1</v>
      </c>
      <c r="O370" s="373">
        <v>1</v>
      </c>
      <c r="P370" s="373">
        <v>1</v>
      </c>
      <c r="Q370" s="373">
        <v>1</v>
      </c>
      <c r="R370" s="373">
        <v>1</v>
      </c>
      <c r="S370" s="373">
        <v>1</v>
      </c>
      <c r="T370" s="373">
        <v>1</v>
      </c>
    </row>
    <row r="371" spans="1:20" s="358" customFormat="1" ht="17.25" customHeight="1">
      <c r="A371" s="340"/>
      <c r="B371" s="340" t="s">
        <v>857</v>
      </c>
      <c r="C371" s="339" t="s">
        <v>846</v>
      </c>
      <c r="D371" s="373">
        <v>250</v>
      </c>
      <c r="E371" s="373">
        <v>250</v>
      </c>
      <c r="F371" s="373">
        <v>250</v>
      </c>
      <c r="G371" s="373">
        <v>250</v>
      </c>
      <c r="H371" s="373">
        <v>250</v>
      </c>
      <c r="I371" s="508">
        <v>250</v>
      </c>
      <c r="J371" s="373">
        <v>250</v>
      </c>
      <c r="K371" s="373">
        <v>250</v>
      </c>
      <c r="L371" s="373">
        <v>250</v>
      </c>
      <c r="M371" s="373">
        <v>250</v>
      </c>
      <c r="N371" s="373">
        <v>250</v>
      </c>
      <c r="O371" s="373">
        <v>250</v>
      </c>
      <c r="P371" s="373">
        <v>250</v>
      </c>
      <c r="Q371" s="373">
        <v>250</v>
      </c>
      <c r="R371" s="373">
        <v>250</v>
      </c>
      <c r="S371" s="373">
        <v>250</v>
      </c>
      <c r="T371" s="373">
        <v>250</v>
      </c>
    </row>
    <row r="372" spans="1:20" s="358" customFormat="1" ht="17.25" customHeight="1">
      <c r="A372" s="340"/>
      <c r="B372" s="351" t="s">
        <v>851</v>
      </c>
      <c r="C372" s="340" t="s">
        <v>107</v>
      </c>
      <c r="D372" s="373">
        <v>1</v>
      </c>
      <c r="E372" s="373">
        <v>1</v>
      </c>
      <c r="F372" s="373">
        <v>1</v>
      </c>
      <c r="G372" s="373">
        <v>1</v>
      </c>
      <c r="H372" s="373">
        <v>1</v>
      </c>
      <c r="I372" s="508">
        <v>1</v>
      </c>
      <c r="J372" s="373">
        <v>1</v>
      </c>
      <c r="K372" s="373">
        <v>1</v>
      </c>
      <c r="L372" s="373">
        <v>1</v>
      </c>
      <c r="M372" s="373">
        <v>1</v>
      </c>
      <c r="N372" s="373">
        <v>1</v>
      </c>
      <c r="O372" s="373">
        <v>1</v>
      </c>
      <c r="P372" s="373">
        <v>1</v>
      </c>
      <c r="Q372" s="373">
        <v>1</v>
      </c>
      <c r="R372" s="373">
        <v>1</v>
      </c>
      <c r="S372" s="373">
        <v>1</v>
      </c>
      <c r="T372" s="373">
        <v>1</v>
      </c>
    </row>
    <row r="373" spans="1:20" s="358" customFormat="1" ht="17.25" customHeight="1">
      <c r="A373" s="340"/>
      <c r="B373" s="340" t="s">
        <v>858</v>
      </c>
      <c r="C373" s="339" t="s">
        <v>846</v>
      </c>
      <c r="D373" s="373">
        <v>813</v>
      </c>
      <c r="E373" s="373">
        <v>813</v>
      </c>
      <c r="F373" s="373">
        <v>813</v>
      </c>
      <c r="G373" s="373">
        <v>813</v>
      </c>
      <c r="H373" s="373">
        <v>813</v>
      </c>
      <c r="I373" s="508">
        <v>813</v>
      </c>
      <c r="J373" s="373">
        <v>813</v>
      </c>
      <c r="K373" s="373">
        <v>813</v>
      </c>
      <c r="L373" s="373">
        <v>813</v>
      </c>
      <c r="M373" s="373">
        <v>813</v>
      </c>
      <c r="N373" s="373">
        <v>813</v>
      </c>
      <c r="O373" s="373">
        <v>813</v>
      </c>
      <c r="P373" s="373">
        <v>813</v>
      </c>
      <c r="Q373" s="373">
        <v>813</v>
      </c>
      <c r="R373" s="373">
        <v>813</v>
      </c>
      <c r="S373" s="373">
        <v>813</v>
      </c>
      <c r="T373" s="373">
        <v>813</v>
      </c>
    </row>
    <row r="374" spans="1:20" s="358" customFormat="1" ht="17.25" customHeight="1">
      <c r="A374" s="340"/>
      <c r="B374" s="351" t="s">
        <v>940</v>
      </c>
      <c r="C374" s="340" t="s">
        <v>307</v>
      </c>
      <c r="D374" s="373">
        <v>1</v>
      </c>
      <c r="E374" s="373">
        <v>1</v>
      </c>
      <c r="F374" s="373">
        <v>1</v>
      </c>
      <c r="G374" s="373">
        <v>1</v>
      </c>
      <c r="H374" s="373">
        <v>1</v>
      </c>
      <c r="I374" s="508">
        <v>1</v>
      </c>
      <c r="J374" s="373">
        <v>1</v>
      </c>
      <c r="K374" s="373">
        <v>1</v>
      </c>
      <c r="L374" s="373">
        <v>1</v>
      </c>
      <c r="M374" s="373">
        <v>1</v>
      </c>
      <c r="N374" s="373">
        <v>1</v>
      </c>
      <c r="O374" s="373">
        <v>1</v>
      </c>
      <c r="P374" s="373">
        <v>1</v>
      </c>
      <c r="Q374" s="373">
        <v>1</v>
      </c>
      <c r="R374" s="373">
        <v>1</v>
      </c>
      <c r="S374" s="373">
        <v>1</v>
      </c>
      <c r="T374" s="373">
        <v>1</v>
      </c>
    </row>
    <row r="375" spans="1:20" s="358" customFormat="1" ht="17.25" customHeight="1">
      <c r="A375" s="340"/>
      <c r="B375" s="340" t="s">
        <v>860</v>
      </c>
      <c r="C375" s="339" t="s">
        <v>846</v>
      </c>
      <c r="D375" s="373">
        <v>2438</v>
      </c>
      <c r="E375" s="373">
        <v>2438</v>
      </c>
      <c r="F375" s="373">
        <v>2438</v>
      </c>
      <c r="G375" s="373">
        <v>2438</v>
      </c>
      <c r="H375" s="373">
        <v>2438</v>
      </c>
      <c r="I375" s="508">
        <v>2438</v>
      </c>
      <c r="J375" s="373">
        <v>2438</v>
      </c>
      <c r="K375" s="373">
        <v>2438</v>
      </c>
      <c r="L375" s="373">
        <v>2438</v>
      </c>
      <c r="M375" s="373">
        <v>2438</v>
      </c>
      <c r="N375" s="373">
        <v>2438</v>
      </c>
      <c r="O375" s="373">
        <v>2438</v>
      </c>
      <c r="P375" s="373">
        <v>2438</v>
      </c>
      <c r="Q375" s="373">
        <v>2438</v>
      </c>
      <c r="R375" s="373">
        <v>2438</v>
      </c>
      <c r="S375" s="373">
        <v>2438</v>
      </c>
      <c r="T375" s="373">
        <v>2438</v>
      </c>
    </row>
    <row r="376" spans="1:20" s="358" customFormat="1" ht="17.25" customHeight="1">
      <c r="A376" s="340"/>
      <c r="B376" s="351" t="s">
        <v>851</v>
      </c>
      <c r="C376" s="340" t="s">
        <v>107</v>
      </c>
      <c r="D376" s="373">
        <v>45</v>
      </c>
      <c r="E376" s="373">
        <v>45</v>
      </c>
      <c r="F376" s="373">
        <v>45</v>
      </c>
      <c r="G376" s="373">
        <v>45</v>
      </c>
      <c r="H376" s="373">
        <v>45</v>
      </c>
      <c r="I376" s="508">
        <v>45</v>
      </c>
      <c r="J376" s="373">
        <v>45</v>
      </c>
      <c r="K376" s="373">
        <v>45</v>
      </c>
      <c r="L376" s="373">
        <v>45</v>
      </c>
      <c r="M376" s="373">
        <v>45</v>
      </c>
      <c r="N376" s="373">
        <v>45</v>
      </c>
      <c r="O376" s="373">
        <v>45</v>
      </c>
      <c r="P376" s="373">
        <v>45</v>
      </c>
      <c r="Q376" s="373">
        <v>45</v>
      </c>
      <c r="R376" s="373">
        <v>45</v>
      </c>
      <c r="S376" s="373">
        <v>45</v>
      </c>
      <c r="T376" s="373">
        <v>45</v>
      </c>
    </row>
    <row r="377" spans="1:20" ht="17.25" customHeight="1">
      <c r="A377" s="454"/>
      <c r="B377" s="454"/>
      <c r="C377" s="454"/>
      <c r="D377" s="454"/>
      <c r="E377" s="454"/>
      <c r="F377" s="454"/>
      <c r="G377" s="454"/>
      <c r="H377" s="454"/>
      <c r="I377" s="527"/>
      <c r="J377" s="455"/>
      <c r="K377" s="455"/>
      <c r="L377" s="455"/>
      <c r="M377" s="455"/>
      <c r="N377" s="455"/>
      <c r="O377" s="455"/>
      <c r="P377" s="455"/>
      <c r="Q377" s="455"/>
      <c r="R377" s="455"/>
      <c r="S377" s="455"/>
      <c r="T377" s="455"/>
    </row>
    <row r="378" spans="1:20" ht="17.25" customHeight="1">
      <c r="A378" s="454"/>
      <c r="B378" s="454"/>
      <c r="C378" s="454"/>
      <c r="D378" s="454"/>
      <c r="E378" s="454"/>
      <c r="F378" s="454"/>
      <c r="G378" s="454"/>
      <c r="H378" s="454"/>
      <c r="I378" s="527"/>
      <c r="J378" s="455"/>
      <c r="K378" s="455"/>
      <c r="L378" s="455"/>
      <c r="M378" s="455"/>
      <c r="N378" s="455"/>
      <c r="O378" s="455"/>
      <c r="P378" s="455"/>
      <c r="Q378" s="455"/>
      <c r="R378" s="455"/>
      <c r="S378" s="455"/>
      <c r="T378" s="455"/>
    </row>
    <row r="379" spans="1:20" ht="17.25" customHeight="1">
      <c r="A379" s="454"/>
      <c r="B379" s="454"/>
      <c r="C379" s="454"/>
      <c r="D379" s="454"/>
      <c r="E379" s="454"/>
      <c r="F379" s="454"/>
      <c r="G379" s="454"/>
      <c r="H379" s="454"/>
      <c r="I379" s="527"/>
      <c r="J379" s="455"/>
      <c r="K379" s="455"/>
      <c r="L379" s="455"/>
      <c r="M379" s="455"/>
      <c r="N379" s="455"/>
      <c r="O379" s="455"/>
      <c r="P379" s="455"/>
      <c r="Q379" s="455"/>
      <c r="R379" s="455"/>
      <c r="S379" s="455"/>
      <c r="T379" s="455"/>
    </row>
    <row r="380" spans="1:20" ht="17.25" customHeight="1">
      <c r="A380" s="454"/>
      <c r="B380" s="454"/>
      <c r="C380" s="454"/>
      <c r="D380" s="454"/>
      <c r="E380" s="454"/>
      <c r="F380" s="454"/>
      <c r="G380" s="454"/>
      <c r="H380" s="454"/>
      <c r="I380" s="527"/>
      <c r="J380" s="455"/>
      <c r="K380" s="455"/>
      <c r="L380" s="455"/>
      <c r="M380" s="455"/>
      <c r="N380" s="455"/>
      <c r="O380" s="455"/>
      <c r="P380" s="455"/>
      <c r="Q380" s="455"/>
      <c r="R380" s="455"/>
      <c r="S380" s="455"/>
      <c r="T380" s="455"/>
    </row>
    <row r="381" spans="1:20" ht="17.25" customHeight="1">
      <c r="A381" s="454"/>
      <c r="B381" s="454"/>
      <c r="C381" s="454"/>
      <c r="D381" s="454"/>
      <c r="E381" s="454"/>
      <c r="F381" s="454"/>
      <c r="G381" s="454"/>
      <c r="H381" s="454"/>
      <c r="I381" s="527"/>
      <c r="J381" s="455"/>
      <c r="K381" s="455"/>
      <c r="L381" s="455"/>
      <c r="M381" s="455"/>
      <c r="N381" s="455"/>
      <c r="O381" s="455"/>
      <c r="P381" s="455"/>
      <c r="Q381" s="455"/>
      <c r="R381" s="455"/>
      <c r="S381" s="455"/>
      <c r="T381" s="455"/>
    </row>
    <row r="382" spans="1:20" ht="17.25" customHeight="1">
      <c r="A382" s="454"/>
      <c r="B382" s="454"/>
      <c r="C382" s="454"/>
      <c r="D382" s="454"/>
      <c r="E382" s="454"/>
      <c r="F382" s="454"/>
      <c r="G382" s="454"/>
      <c r="H382" s="454"/>
      <c r="I382" s="527"/>
      <c r="J382" s="455"/>
      <c r="K382" s="455"/>
      <c r="L382" s="455"/>
      <c r="M382" s="455"/>
      <c r="N382" s="455"/>
      <c r="O382" s="455"/>
      <c r="P382" s="455"/>
      <c r="Q382" s="455"/>
      <c r="R382" s="455"/>
      <c r="S382" s="455"/>
      <c r="T382" s="455"/>
    </row>
    <row r="383" spans="1:20" ht="17.25" customHeight="1">
      <c r="A383" s="454"/>
      <c r="B383" s="454"/>
      <c r="C383" s="454"/>
      <c r="D383" s="454"/>
      <c r="E383" s="454"/>
      <c r="F383" s="454"/>
      <c r="G383" s="454"/>
      <c r="H383" s="454"/>
      <c r="I383" s="527"/>
      <c r="J383" s="455"/>
      <c r="K383" s="455"/>
      <c r="L383" s="455"/>
      <c r="M383" s="455"/>
      <c r="N383" s="455"/>
      <c r="O383" s="455"/>
      <c r="P383" s="455"/>
      <c r="Q383" s="455"/>
      <c r="R383" s="455"/>
      <c r="S383" s="455"/>
      <c r="T383" s="455"/>
    </row>
    <row r="384" spans="1:20" ht="17.25" customHeight="1">
      <c r="A384" s="454"/>
      <c r="B384" s="454"/>
      <c r="C384" s="454"/>
      <c r="D384" s="454"/>
      <c r="E384" s="454"/>
      <c r="F384" s="454"/>
      <c r="G384" s="454"/>
      <c r="H384" s="454"/>
      <c r="I384" s="527"/>
      <c r="J384" s="455"/>
      <c r="K384" s="455"/>
      <c r="L384" s="455"/>
      <c r="M384" s="455"/>
      <c r="N384" s="455"/>
      <c r="O384" s="455"/>
      <c r="P384" s="455"/>
      <c r="Q384" s="455"/>
      <c r="R384" s="455"/>
      <c r="S384" s="455"/>
      <c r="T384" s="455"/>
    </row>
    <row r="385" spans="1:20" ht="17.25" customHeight="1">
      <c r="A385" s="454"/>
      <c r="B385" s="454"/>
      <c r="C385" s="454"/>
      <c r="D385" s="454"/>
      <c r="E385" s="454"/>
      <c r="F385" s="454"/>
      <c r="G385" s="454"/>
      <c r="H385" s="454"/>
      <c r="I385" s="527"/>
      <c r="J385" s="455"/>
      <c r="K385" s="455"/>
      <c r="L385" s="455"/>
      <c r="M385" s="455"/>
      <c r="N385" s="455"/>
      <c r="O385" s="455"/>
      <c r="P385" s="455"/>
      <c r="Q385" s="455"/>
      <c r="R385" s="455"/>
      <c r="S385" s="455"/>
      <c r="T385" s="455"/>
    </row>
    <row r="386" spans="1:20" ht="17.25" customHeight="1">
      <c r="A386" s="454"/>
      <c r="B386" s="454"/>
      <c r="C386" s="454"/>
      <c r="D386" s="454"/>
      <c r="E386" s="454"/>
      <c r="F386" s="454"/>
      <c r="G386" s="454"/>
      <c r="H386" s="454"/>
      <c r="I386" s="527"/>
      <c r="J386" s="455"/>
      <c r="K386" s="455"/>
      <c r="L386" s="455"/>
      <c r="M386" s="455"/>
      <c r="N386" s="455"/>
      <c r="O386" s="455"/>
      <c r="P386" s="455"/>
      <c r="Q386" s="455"/>
      <c r="R386" s="455"/>
      <c r="S386" s="455"/>
      <c r="T386" s="455"/>
    </row>
    <row r="387" spans="1:20" ht="17.25" customHeight="1">
      <c r="A387" s="454"/>
      <c r="B387" s="454"/>
      <c r="C387" s="454"/>
      <c r="D387" s="454"/>
      <c r="E387" s="454"/>
      <c r="F387" s="454"/>
      <c r="G387" s="454"/>
      <c r="H387" s="454"/>
      <c r="I387" s="527"/>
      <c r="J387" s="455"/>
      <c r="K387" s="455"/>
      <c r="L387" s="455"/>
      <c r="M387" s="455"/>
      <c r="N387" s="455"/>
      <c r="O387" s="455"/>
      <c r="P387" s="455"/>
      <c r="Q387" s="455"/>
      <c r="R387" s="455"/>
      <c r="S387" s="455"/>
      <c r="T387" s="455"/>
    </row>
    <row r="388" spans="1:20" ht="17.25" customHeight="1">
      <c r="A388" s="454"/>
      <c r="B388" s="454"/>
      <c r="C388" s="454"/>
      <c r="D388" s="454"/>
      <c r="E388" s="454"/>
      <c r="F388" s="454"/>
      <c r="G388" s="454"/>
      <c r="H388" s="454"/>
      <c r="I388" s="527"/>
      <c r="J388" s="455"/>
      <c r="K388" s="455"/>
      <c r="L388" s="455"/>
      <c r="M388" s="455"/>
      <c r="N388" s="455"/>
      <c r="O388" s="455"/>
      <c r="P388" s="455"/>
      <c r="Q388" s="455"/>
      <c r="R388" s="455"/>
      <c r="S388" s="455"/>
      <c r="T388" s="455"/>
    </row>
    <row r="389" spans="1:20" ht="17.25" customHeight="1">
      <c r="A389" s="454"/>
      <c r="B389" s="454"/>
      <c r="C389" s="454"/>
      <c r="D389" s="454"/>
      <c r="E389" s="454"/>
      <c r="F389" s="454"/>
      <c r="G389" s="454"/>
      <c r="H389" s="454"/>
      <c r="I389" s="527"/>
      <c r="J389" s="455"/>
      <c r="K389" s="455"/>
      <c r="L389" s="455"/>
      <c r="M389" s="455"/>
      <c r="N389" s="455"/>
      <c r="O389" s="455"/>
      <c r="P389" s="455"/>
      <c r="Q389" s="455"/>
      <c r="R389" s="455"/>
      <c r="S389" s="455"/>
      <c r="T389" s="455"/>
    </row>
    <row r="390" spans="1:20" ht="17.25" customHeight="1">
      <c r="A390" s="454"/>
      <c r="B390" s="454"/>
      <c r="C390" s="454"/>
      <c r="D390" s="454"/>
      <c r="E390" s="454"/>
      <c r="F390" s="454"/>
      <c r="G390" s="454"/>
      <c r="H390" s="454"/>
      <c r="I390" s="527"/>
      <c r="J390" s="455"/>
      <c r="K390" s="455"/>
      <c r="L390" s="455"/>
      <c r="M390" s="455"/>
      <c r="N390" s="455"/>
      <c r="O390" s="455"/>
      <c r="P390" s="455"/>
      <c r="Q390" s="455"/>
      <c r="R390" s="455"/>
      <c r="S390" s="455"/>
      <c r="T390" s="455"/>
    </row>
    <row r="391" spans="1:20" ht="17.25" customHeight="1">
      <c r="A391" s="454"/>
      <c r="B391" s="454"/>
      <c r="C391" s="454"/>
      <c r="D391" s="454"/>
      <c r="E391" s="454"/>
      <c r="F391" s="454"/>
      <c r="G391" s="454"/>
      <c r="H391" s="454"/>
      <c r="I391" s="527"/>
      <c r="J391" s="455"/>
      <c r="K391" s="455"/>
      <c r="L391" s="455"/>
      <c r="M391" s="455"/>
      <c r="N391" s="455"/>
      <c r="O391" s="455"/>
      <c r="P391" s="455"/>
      <c r="Q391" s="455"/>
      <c r="R391" s="455"/>
      <c r="S391" s="455"/>
      <c r="T391" s="455"/>
    </row>
    <row r="392" spans="1:20" ht="17.25" customHeight="1">
      <c r="A392" s="454"/>
      <c r="B392" s="454"/>
      <c r="C392" s="454"/>
      <c r="D392" s="454"/>
      <c r="E392" s="454"/>
      <c r="F392" s="454"/>
      <c r="G392" s="454"/>
      <c r="H392" s="454"/>
      <c r="I392" s="527"/>
      <c r="J392" s="455"/>
      <c r="K392" s="455"/>
      <c r="L392" s="455"/>
      <c r="M392" s="455"/>
      <c r="N392" s="455"/>
      <c r="O392" s="455"/>
      <c r="P392" s="455"/>
      <c r="Q392" s="455"/>
      <c r="R392" s="455"/>
      <c r="S392" s="455"/>
      <c r="T392" s="455"/>
    </row>
    <row r="393" spans="1:20" ht="17.25" customHeight="1">
      <c r="A393" s="454"/>
      <c r="B393" s="454"/>
      <c r="C393" s="454"/>
      <c r="D393" s="454"/>
      <c r="E393" s="454"/>
      <c r="F393" s="454"/>
      <c r="G393" s="454"/>
      <c r="H393" s="454"/>
      <c r="I393" s="527"/>
      <c r="J393" s="455"/>
      <c r="K393" s="455"/>
      <c r="L393" s="455"/>
      <c r="M393" s="455"/>
      <c r="N393" s="455"/>
      <c r="O393" s="455"/>
      <c r="P393" s="455"/>
      <c r="Q393" s="455"/>
      <c r="R393" s="455"/>
      <c r="S393" s="455"/>
      <c r="T393" s="455"/>
    </row>
    <row r="394" spans="1:20" ht="17.25" customHeight="1">
      <c r="A394" s="454"/>
      <c r="B394" s="454"/>
      <c r="C394" s="454"/>
      <c r="D394" s="454"/>
      <c r="E394" s="454"/>
      <c r="F394" s="454"/>
      <c r="G394" s="454"/>
      <c r="H394" s="454"/>
      <c r="I394" s="527"/>
      <c r="J394" s="455"/>
      <c r="K394" s="455"/>
      <c r="L394" s="455"/>
      <c r="M394" s="455"/>
      <c r="N394" s="455"/>
      <c r="O394" s="455"/>
      <c r="P394" s="455"/>
      <c r="Q394" s="455"/>
      <c r="R394" s="455"/>
      <c r="S394" s="455"/>
      <c r="T394" s="455"/>
    </row>
    <row r="395" spans="1:20" ht="17.25" customHeight="1">
      <c r="A395" s="454"/>
      <c r="B395" s="454"/>
      <c r="C395" s="454"/>
      <c r="D395" s="454"/>
      <c r="E395" s="454"/>
      <c r="F395" s="454"/>
      <c r="G395" s="454"/>
      <c r="H395" s="454"/>
      <c r="I395" s="527"/>
      <c r="J395" s="455"/>
      <c r="K395" s="455"/>
      <c r="L395" s="455"/>
      <c r="M395" s="455"/>
      <c r="N395" s="455"/>
      <c r="O395" s="455"/>
      <c r="P395" s="455"/>
      <c r="Q395" s="455"/>
      <c r="R395" s="455"/>
      <c r="S395" s="455"/>
      <c r="T395" s="455"/>
    </row>
    <row r="396" spans="1:20" ht="17.25" customHeight="1">
      <c r="A396" s="454"/>
      <c r="B396" s="454"/>
      <c r="C396" s="454"/>
      <c r="D396" s="454"/>
      <c r="E396" s="454"/>
      <c r="F396" s="454"/>
      <c r="G396" s="454"/>
      <c r="H396" s="454"/>
      <c r="I396" s="527"/>
      <c r="J396" s="455"/>
      <c r="K396" s="455"/>
      <c r="L396" s="455"/>
      <c r="M396" s="455"/>
      <c r="N396" s="455"/>
      <c r="O396" s="455"/>
      <c r="P396" s="455"/>
      <c r="Q396" s="455"/>
      <c r="R396" s="455"/>
      <c r="S396" s="455"/>
      <c r="T396" s="455"/>
    </row>
    <row r="397" spans="1:20" ht="17.25" customHeight="1">
      <c r="A397" s="454"/>
      <c r="B397" s="454"/>
      <c r="C397" s="454"/>
      <c r="D397" s="454"/>
      <c r="E397" s="454"/>
      <c r="F397" s="454"/>
      <c r="G397" s="454"/>
      <c r="H397" s="454"/>
      <c r="I397" s="527"/>
      <c r="J397" s="455"/>
      <c r="K397" s="455"/>
      <c r="L397" s="455"/>
      <c r="M397" s="455"/>
      <c r="N397" s="455"/>
      <c r="O397" s="455"/>
      <c r="P397" s="455"/>
      <c r="Q397" s="455"/>
      <c r="R397" s="455"/>
      <c r="S397" s="455"/>
      <c r="T397" s="455"/>
    </row>
    <row r="398" spans="1:20" ht="17.25" customHeight="1">
      <c r="A398" s="454"/>
      <c r="B398" s="454"/>
      <c r="C398" s="454"/>
      <c r="D398" s="454"/>
      <c r="E398" s="454"/>
      <c r="F398" s="454"/>
      <c r="G398" s="454"/>
      <c r="H398" s="454"/>
      <c r="I398" s="527"/>
      <c r="J398" s="455"/>
      <c r="K398" s="455"/>
      <c r="L398" s="455"/>
      <c r="M398" s="455"/>
      <c r="N398" s="455"/>
      <c r="O398" s="455"/>
      <c r="P398" s="455"/>
      <c r="Q398" s="455"/>
      <c r="R398" s="455"/>
      <c r="S398" s="455"/>
      <c r="T398" s="455"/>
    </row>
    <row r="399" spans="1:20" ht="17.25" customHeight="1">
      <c r="A399" s="454"/>
      <c r="B399" s="454"/>
      <c r="C399" s="454"/>
      <c r="D399" s="454"/>
      <c r="E399" s="454"/>
      <c r="F399" s="454"/>
      <c r="G399" s="454"/>
      <c r="H399" s="454"/>
      <c r="I399" s="527"/>
      <c r="J399" s="455"/>
      <c r="K399" s="455"/>
      <c r="L399" s="455"/>
      <c r="M399" s="455"/>
      <c r="N399" s="455"/>
      <c r="O399" s="455"/>
      <c r="P399" s="455"/>
      <c r="Q399" s="455"/>
      <c r="R399" s="455"/>
      <c r="S399" s="455"/>
      <c r="T399" s="455"/>
    </row>
    <row r="400" spans="1:20" ht="17.25" customHeight="1">
      <c r="A400" s="454"/>
      <c r="B400" s="454"/>
      <c r="C400" s="454"/>
      <c r="D400" s="454"/>
      <c r="E400" s="454"/>
      <c r="F400" s="454"/>
      <c r="G400" s="454"/>
      <c r="H400" s="454"/>
      <c r="I400" s="527"/>
      <c r="J400" s="455"/>
      <c r="K400" s="455"/>
      <c r="L400" s="455"/>
      <c r="M400" s="455"/>
      <c r="N400" s="455"/>
      <c r="O400" s="455"/>
      <c r="P400" s="455"/>
      <c r="Q400" s="455"/>
      <c r="R400" s="455"/>
      <c r="S400" s="455"/>
      <c r="T400" s="455"/>
    </row>
    <row r="401" spans="1:20" ht="17.25" customHeight="1">
      <c r="A401" s="454"/>
      <c r="B401" s="454"/>
      <c r="C401" s="454"/>
      <c r="D401" s="454"/>
      <c r="E401" s="454"/>
      <c r="F401" s="454"/>
      <c r="G401" s="454"/>
      <c r="H401" s="454"/>
      <c r="I401" s="527"/>
      <c r="J401" s="455"/>
      <c r="K401" s="455"/>
      <c r="L401" s="455"/>
      <c r="M401" s="455"/>
      <c r="N401" s="455"/>
      <c r="O401" s="455"/>
      <c r="P401" s="455"/>
      <c r="Q401" s="455"/>
      <c r="R401" s="455"/>
      <c r="S401" s="455"/>
      <c r="T401" s="455"/>
    </row>
    <row r="402" spans="1:20" ht="17.25" customHeight="1">
      <c r="A402" s="454"/>
      <c r="B402" s="454"/>
      <c r="C402" s="454"/>
      <c r="D402" s="454"/>
      <c r="E402" s="454"/>
      <c r="F402" s="454"/>
      <c r="G402" s="454"/>
      <c r="H402" s="454"/>
      <c r="I402" s="527"/>
      <c r="J402" s="455"/>
      <c r="K402" s="455"/>
      <c r="L402" s="455"/>
      <c r="M402" s="455"/>
      <c r="N402" s="455"/>
      <c r="O402" s="455"/>
      <c r="P402" s="455"/>
      <c r="Q402" s="455"/>
      <c r="R402" s="455"/>
      <c r="S402" s="455"/>
      <c r="T402" s="455"/>
    </row>
    <row r="403" spans="1:20" ht="17.25" customHeight="1">
      <c r="A403" s="454"/>
      <c r="B403" s="454"/>
      <c r="C403" s="454"/>
      <c r="D403" s="454"/>
      <c r="E403" s="454"/>
      <c r="F403" s="454"/>
      <c r="G403" s="454"/>
      <c r="H403" s="454"/>
      <c r="I403" s="527"/>
      <c r="J403" s="455"/>
      <c r="K403" s="455"/>
      <c r="L403" s="455"/>
      <c r="M403" s="455"/>
      <c r="N403" s="455"/>
      <c r="O403" s="455"/>
      <c r="P403" s="455"/>
      <c r="Q403" s="455"/>
      <c r="R403" s="455"/>
      <c r="S403" s="455"/>
      <c r="T403" s="455"/>
    </row>
    <row r="404" spans="1:20" ht="17.25" customHeight="1">
      <c r="A404" s="454"/>
      <c r="B404" s="454"/>
      <c r="C404" s="454"/>
      <c r="D404" s="454"/>
      <c r="E404" s="454"/>
      <c r="F404" s="454"/>
      <c r="G404" s="454"/>
      <c r="H404" s="454"/>
      <c r="I404" s="527"/>
      <c r="J404" s="455"/>
      <c r="K404" s="455"/>
      <c r="L404" s="455"/>
      <c r="M404" s="455"/>
      <c r="N404" s="455"/>
      <c r="O404" s="455"/>
      <c r="P404" s="455"/>
      <c r="Q404" s="455"/>
      <c r="R404" s="455"/>
      <c r="S404" s="455"/>
      <c r="T404" s="455"/>
    </row>
    <row r="405" spans="1:20" ht="17.25" customHeight="1">
      <c r="A405" s="454"/>
      <c r="B405" s="454"/>
      <c r="C405" s="454"/>
      <c r="D405" s="454"/>
      <c r="E405" s="454"/>
      <c r="F405" s="454"/>
      <c r="G405" s="454"/>
      <c r="H405" s="454"/>
      <c r="I405" s="527"/>
      <c r="J405" s="455"/>
      <c r="K405" s="455"/>
      <c r="L405" s="455"/>
      <c r="M405" s="455"/>
      <c r="N405" s="455"/>
      <c r="O405" s="455"/>
      <c r="P405" s="455"/>
      <c r="Q405" s="455"/>
      <c r="R405" s="455"/>
      <c r="S405" s="455"/>
      <c r="T405" s="455"/>
    </row>
    <row r="406" spans="1:20" ht="17.25" customHeight="1">
      <c r="A406" s="454"/>
      <c r="B406" s="454"/>
      <c r="C406" s="454"/>
      <c r="D406" s="454"/>
      <c r="E406" s="454"/>
      <c r="F406" s="454"/>
      <c r="G406" s="454"/>
      <c r="H406" s="454"/>
      <c r="I406" s="527"/>
      <c r="J406" s="455"/>
      <c r="K406" s="455"/>
      <c r="L406" s="455"/>
      <c r="M406" s="455"/>
      <c r="N406" s="455"/>
      <c r="O406" s="455"/>
      <c r="P406" s="455"/>
      <c r="Q406" s="455"/>
      <c r="R406" s="455"/>
      <c r="S406" s="455"/>
      <c r="T406" s="455"/>
    </row>
    <row r="407" spans="1:20" ht="17.25" customHeight="1">
      <c r="A407" s="454"/>
      <c r="B407" s="454"/>
      <c r="C407" s="454"/>
      <c r="D407" s="454"/>
      <c r="E407" s="454"/>
      <c r="F407" s="454"/>
      <c r="G407" s="454"/>
      <c r="H407" s="454"/>
      <c r="I407" s="527"/>
      <c r="J407" s="455"/>
      <c r="K407" s="455"/>
      <c r="L407" s="455"/>
      <c r="M407" s="455"/>
      <c r="N407" s="455"/>
      <c r="O407" s="455"/>
      <c r="P407" s="455"/>
      <c r="Q407" s="455"/>
      <c r="R407" s="455"/>
      <c r="S407" s="455"/>
      <c r="T407" s="455"/>
    </row>
    <row r="408" spans="1:20" ht="17.25" customHeight="1">
      <c r="A408" s="454"/>
      <c r="B408" s="454"/>
      <c r="C408" s="454"/>
      <c r="D408" s="454"/>
      <c r="E408" s="454"/>
      <c r="F408" s="454"/>
      <c r="G408" s="454"/>
      <c r="H408" s="454"/>
      <c r="I408" s="527"/>
      <c r="J408" s="455"/>
      <c r="K408" s="455"/>
      <c r="L408" s="455"/>
      <c r="M408" s="455"/>
      <c r="N408" s="455"/>
      <c r="O408" s="455"/>
      <c r="P408" s="455"/>
      <c r="Q408" s="455"/>
      <c r="R408" s="455"/>
      <c r="S408" s="455"/>
      <c r="T408" s="455"/>
    </row>
    <row r="409" spans="1:20" ht="17.25" customHeight="1">
      <c r="A409" s="454"/>
      <c r="B409" s="454"/>
      <c r="C409" s="454"/>
      <c r="D409" s="454"/>
      <c r="E409" s="454"/>
      <c r="F409" s="454"/>
      <c r="G409" s="454"/>
      <c r="H409" s="454"/>
      <c r="I409" s="527"/>
      <c r="J409" s="455"/>
      <c r="K409" s="455"/>
      <c r="L409" s="455"/>
      <c r="M409" s="455"/>
      <c r="N409" s="455"/>
      <c r="O409" s="455"/>
      <c r="P409" s="455"/>
      <c r="Q409" s="455"/>
      <c r="R409" s="455"/>
      <c r="S409" s="455"/>
      <c r="T409" s="455"/>
    </row>
    <row r="410" spans="1:20" ht="17.25" customHeight="1">
      <c r="A410" s="454"/>
      <c r="B410" s="454"/>
      <c r="C410" s="454"/>
      <c r="D410" s="454"/>
      <c r="E410" s="454"/>
      <c r="F410" s="454"/>
      <c r="G410" s="454"/>
      <c r="H410" s="454"/>
      <c r="I410" s="527"/>
      <c r="J410" s="455"/>
      <c r="K410" s="455"/>
      <c r="L410" s="455"/>
      <c r="M410" s="455"/>
      <c r="N410" s="455"/>
      <c r="O410" s="455"/>
      <c r="P410" s="455"/>
      <c r="Q410" s="455"/>
      <c r="R410" s="455"/>
      <c r="S410" s="455"/>
      <c r="T410" s="455"/>
    </row>
    <row r="411" spans="1:20" ht="17.25" customHeight="1">
      <c r="A411" s="454"/>
      <c r="B411" s="454"/>
      <c r="C411" s="454"/>
      <c r="D411" s="454"/>
      <c r="E411" s="454"/>
      <c r="F411" s="454"/>
      <c r="G411" s="454"/>
      <c r="H411" s="454"/>
      <c r="I411" s="527"/>
      <c r="J411" s="455"/>
      <c r="K411" s="455"/>
      <c r="L411" s="455"/>
      <c r="M411" s="455"/>
      <c r="N411" s="455"/>
      <c r="O411" s="455"/>
      <c r="P411" s="455"/>
      <c r="Q411" s="455"/>
      <c r="R411" s="455"/>
      <c r="S411" s="455"/>
      <c r="T411" s="455"/>
    </row>
    <row r="412" spans="1:20" ht="17.25" customHeight="1">
      <c r="A412" s="454"/>
      <c r="B412" s="454"/>
      <c r="C412" s="454"/>
      <c r="D412" s="454"/>
      <c r="E412" s="454"/>
      <c r="F412" s="454"/>
      <c r="G412" s="454"/>
      <c r="H412" s="454"/>
      <c r="I412" s="527"/>
      <c r="J412" s="455"/>
      <c r="K412" s="455"/>
      <c r="L412" s="455"/>
      <c r="M412" s="455"/>
      <c r="N412" s="455"/>
      <c r="O412" s="455"/>
      <c r="P412" s="455"/>
      <c r="Q412" s="455"/>
      <c r="R412" s="455"/>
      <c r="S412" s="455"/>
      <c r="T412" s="455"/>
    </row>
    <row r="413" spans="1:20" ht="17.25" customHeight="1">
      <c r="A413" s="454"/>
      <c r="B413" s="454"/>
      <c r="C413" s="454"/>
      <c r="D413" s="454"/>
      <c r="E413" s="454"/>
      <c r="F413" s="454"/>
      <c r="G413" s="454"/>
      <c r="H413" s="454"/>
      <c r="I413" s="527"/>
      <c r="J413" s="455"/>
      <c r="K413" s="455"/>
      <c r="L413" s="455"/>
      <c r="M413" s="455"/>
      <c r="N413" s="455"/>
      <c r="O413" s="455"/>
      <c r="P413" s="455"/>
      <c r="Q413" s="455"/>
      <c r="R413" s="455"/>
      <c r="S413" s="455"/>
      <c r="T413" s="455"/>
    </row>
    <row r="414" spans="1:20" ht="17.25" customHeight="1">
      <c r="A414" s="454"/>
      <c r="B414" s="454"/>
      <c r="C414" s="454"/>
      <c r="D414" s="454"/>
      <c r="E414" s="454"/>
      <c r="F414" s="454"/>
      <c r="G414" s="454"/>
      <c r="H414" s="454"/>
      <c r="I414" s="527"/>
      <c r="J414" s="455"/>
      <c r="K414" s="455"/>
      <c r="L414" s="455"/>
      <c r="M414" s="455"/>
      <c r="N414" s="455"/>
      <c r="O414" s="455"/>
      <c r="P414" s="455"/>
      <c r="Q414" s="455"/>
      <c r="R414" s="455"/>
      <c r="S414" s="455"/>
      <c r="T414" s="455"/>
    </row>
    <row r="415" spans="1:20" ht="17.25" customHeight="1">
      <c r="A415" s="454"/>
      <c r="B415" s="454"/>
      <c r="C415" s="454"/>
      <c r="D415" s="454"/>
      <c r="E415" s="454"/>
      <c r="F415" s="454"/>
      <c r="G415" s="454"/>
      <c r="H415" s="454"/>
      <c r="I415" s="527"/>
      <c r="J415" s="455"/>
      <c r="K415" s="455"/>
      <c r="L415" s="455"/>
      <c r="M415" s="455"/>
      <c r="N415" s="455"/>
      <c r="O415" s="455"/>
      <c r="P415" s="455"/>
      <c r="Q415" s="455"/>
      <c r="R415" s="455"/>
      <c r="S415" s="455"/>
      <c r="T415" s="455"/>
    </row>
    <row r="416" spans="1:20" ht="17.25" customHeight="1">
      <c r="A416" s="454"/>
      <c r="B416" s="454"/>
      <c r="C416" s="454"/>
      <c r="D416" s="454"/>
      <c r="E416" s="454"/>
      <c r="F416" s="454"/>
      <c r="G416" s="454"/>
      <c r="H416" s="454"/>
      <c r="I416" s="527"/>
      <c r="J416" s="455"/>
      <c r="K416" s="455"/>
      <c r="L416" s="455"/>
      <c r="M416" s="455"/>
      <c r="N416" s="455"/>
      <c r="O416" s="455"/>
      <c r="P416" s="455"/>
      <c r="Q416" s="455"/>
      <c r="R416" s="455"/>
      <c r="S416" s="455"/>
      <c r="T416" s="455"/>
    </row>
    <row r="417" spans="1:20" ht="17.25" customHeight="1">
      <c r="A417" s="454"/>
      <c r="B417" s="454"/>
      <c r="C417" s="454"/>
      <c r="D417" s="454"/>
      <c r="E417" s="454"/>
      <c r="F417" s="454"/>
      <c r="G417" s="454"/>
      <c r="H417" s="454"/>
      <c r="I417" s="527"/>
      <c r="J417" s="455"/>
      <c r="K417" s="455"/>
      <c r="L417" s="455"/>
      <c r="M417" s="455"/>
      <c r="N417" s="455"/>
      <c r="O417" s="455"/>
      <c r="P417" s="455"/>
      <c r="Q417" s="455"/>
      <c r="R417" s="455"/>
      <c r="S417" s="455"/>
      <c r="T417" s="455"/>
    </row>
    <row r="418" spans="1:20" ht="17.25" customHeight="1">
      <c r="A418" s="454"/>
      <c r="B418" s="454"/>
      <c r="C418" s="454"/>
      <c r="D418" s="454"/>
      <c r="E418" s="454"/>
      <c r="F418" s="454"/>
      <c r="G418" s="454"/>
      <c r="H418" s="454"/>
      <c r="I418" s="527"/>
      <c r="J418" s="455"/>
      <c r="K418" s="455"/>
      <c r="L418" s="455"/>
      <c r="M418" s="455"/>
      <c r="N418" s="455"/>
      <c r="O418" s="455"/>
      <c r="P418" s="455"/>
      <c r="Q418" s="455"/>
      <c r="R418" s="455"/>
      <c r="S418" s="455"/>
      <c r="T418" s="455"/>
    </row>
    <row r="419" spans="1:20" ht="17.25" customHeight="1">
      <c r="A419" s="454"/>
      <c r="B419" s="454"/>
      <c r="C419" s="454"/>
      <c r="D419" s="454"/>
      <c r="E419" s="454"/>
      <c r="F419" s="454"/>
      <c r="G419" s="454"/>
      <c r="H419" s="454"/>
      <c r="I419" s="527"/>
      <c r="J419" s="455"/>
      <c r="K419" s="455"/>
      <c r="L419" s="455"/>
      <c r="M419" s="455"/>
      <c r="N419" s="455"/>
      <c r="O419" s="455"/>
      <c r="P419" s="455"/>
      <c r="Q419" s="455"/>
      <c r="R419" s="455"/>
      <c r="S419" s="455"/>
      <c r="T419" s="455"/>
    </row>
    <row r="420" spans="1:20" ht="17.25" customHeight="1">
      <c r="A420" s="454"/>
      <c r="B420" s="454"/>
      <c r="C420" s="454"/>
      <c r="D420" s="454"/>
      <c r="E420" s="454"/>
      <c r="F420" s="454"/>
      <c r="G420" s="454"/>
      <c r="H420" s="454"/>
      <c r="I420" s="527"/>
      <c r="J420" s="455"/>
      <c r="K420" s="455"/>
      <c r="L420" s="455"/>
      <c r="M420" s="455"/>
      <c r="N420" s="455"/>
      <c r="O420" s="455"/>
      <c r="P420" s="455"/>
      <c r="Q420" s="455"/>
      <c r="R420" s="455"/>
      <c r="S420" s="455"/>
      <c r="T420" s="455"/>
    </row>
    <row r="421" spans="1:20" ht="17.25" customHeight="1">
      <c r="A421" s="454"/>
      <c r="B421" s="454"/>
      <c r="C421" s="454"/>
      <c r="D421" s="454"/>
      <c r="E421" s="454"/>
      <c r="F421" s="454"/>
      <c r="G421" s="454"/>
      <c r="H421" s="454"/>
      <c r="I421" s="527"/>
      <c r="J421" s="455"/>
      <c r="K421" s="455"/>
      <c r="L421" s="455"/>
      <c r="M421" s="455"/>
      <c r="N421" s="455"/>
      <c r="O421" s="455"/>
      <c r="P421" s="455"/>
      <c r="Q421" s="455"/>
      <c r="R421" s="455"/>
      <c r="S421" s="455"/>
      <c r="T421" s="455"/>
    </row>
    <row r="422" spans="1:20" ht="17.25" customHeight="1">
      <c r="A422" s="454"/>
      <c r="B422" s="454"/>
      <c r="C422" s="454"/>
      <c r="D422" s="454"/>
      <c r="E422" s="454"/>
      <c r="F422" s="454"/>
      <c r="G422" s="454"/>
      <c r="H422" s="454"/>
      <c r="I422" s="527"/>
      <c r="J422" s="455"/>
      <c r="K422" s="455"/>
      <c r="L422" s="455"/>
      <c r="M422" s="455"/>
      <c r="N422" s="455"/>
      <c r="O422" s="455"/>
      <c r="P422" s="455"/>
      <c r="Q422" s="455"/>
      <c r="R422" s="455"/>
      <c r="S422" s="455"/>
      <c r="T422" s="455"/>
    </row>
    <row r="423" spans="1:20" ht="17.25" customHeight="1">
      <c r="A423" s="454"/>
      <c r="B423" s="454"/>
      <c r="C423" s="454"/>
      <c r="D423" s="454"/>
      <c r="E423" s="454"/>
      <c r="F423" s="454"/>
      <c r="G423" s="454"/>
      <c r="H423" s="454"/>
      <c r="I423" s="527"/>
      <c r="J423" s="455"/>
      <c r="K423" s="455"/>
      <c r="L423" s="455"/>
      <c r="M423" s="455"/>
      <c r="N423" s="455"/>
      <c r="O423" s="455"/>
      <c r="P423" s="455"/>
      <c r="Q423" s="455"/>
      <c r="R423" s="455"/>
      <c r="S423" s="455"/>
      <c r="T423" s="455"/>
    </row>
    <row r="424" spans="1:20" ht="17.25" customHeight="1">
      <c r="A424" s="454"/>
      <c r="B424" s="454"/>
      <c r="C424" s="454"/>
      <c r="D424" s="454"/>
      <c r="E424" s="454"/>
      <c r="F424" s="454"/>
      <c r="G424" s="454"/>
      <c r="H424" s="454"/>
      <c r="I424" s="527"/>
      <c r="J424" s="455"/>
      <c r="K424" s="455"/>
      <c r="L424" s="455"/>
      <c r="M424" s="455"/>
      <c r="N424" s="455"/>
      <c r="O424" s="455"/>
      <c r="P424" s="455"/>
      <c r="Q424" s="455"/>
      <c r="R424" s="455"/>
      <c r="S424" s="455"/>
      <c r="T424" s="455"/>
    </row>
    <row r="425" spans="1:20" ht="17.25" customHeight="1">
      <c r="A425" s="454"/>
      <c r="B425" s="454"/>
      <c r="C425" s="454"/>
      <c r="D425" s="454"/>
      <c r="E425" s="454"/>
      <c r="F425" s="454"/>
      <c r="G425" s="454"/>
      <c r="H425" s="454"/>
      <c r="I425" s="527"/>
      <c r="J425" s="455"/>
      <c r="K425" s="455"/>
      <c r="L425" s="455"/>
      <c r="M425" s="455"/>
      <c r="N425" s="455"/>
      <c r="O425" s="455"/>
      <c r="P425" s="455"/>
      <c r="Q425" s="455"/>
      <c r="R425" s="455"/>
      <c r="S425" s="455"/>
      <c r="T425" s="455"/>
    </row>
    <row r="426" spans="1:20" ht="17.25" customHeight="1">
      <c r="A426" s="454"/>
      <c r="B426" s="454"/>
      <c r="C426" s="454"/>
      <c r="D426" s="454"/>
      <c r="E426" s="454"/>
      <c r="F426" s="454"/>
      <c r="G426" s="454"/>
      <c r="H426" s="454"/>
      <c r="I426" s="527"/>
      <c r="J426" s="455"/>
      <c r="K426" s="455"/>
      <c r="L426" s="455"/>
      <c r="M426" s="455"/>
      <c r="N426" s="455"/>
      <c r="O426" s="455"/>
      <c r="P426" s="455"/>
      <c r="Q426" s="455"/>
      <c r="R426" s="455"/>
      <c r="S426" s="455"/>
      <c r="T426" s="455"/>
    </row>
    <row r="427" spans="1:20" ht="17.25" customHeight="1">
      <c r="A427" s="454"/>
      <c r="B427" s="454"/>
      <c r="C427" s="454"/>
      <c r="D427" s="454"/>
      <c r="E427" s="454"/>
      <c r="F427" s="454"/>
      <c r="G427" s="454"/>
      <c r="H427" s="454"/>
      <c r="I427" s="527"/>
      <c r="J427" s="455"/>
      <c r="K427" s="455"/>
      <c r="L427" s="455"/>
      <c r="M427" s="455"/>
      <c r="N427" s="455"/>
      <c r="O427" s="455"/>
      <c r="P427" s="455"/>
      <c r="Q427" s="455"/>
      <c r="R427" s="455"/>
      <c r="S427" s="455"/>
      <c r="T427" s="455"/>
    </row>
    <row r="428" spans="1:20" ht="17.25" customHeight="1">
      <c r="A428" s="454"/>
      <c r="B428" s="454"/>
      <c r="C428" s="454"/>
      <c r="D428" s="454"/>
      <c r="E428" s="454"/>
      <c r="F428" s="454"/>
      <c r="G428" s="454"/>
      <c r="H428" s="454"/>
      <c r="I428" s="527"/>
      <c r="J428" s="455"/>
      <c r="K428" s="455"/>
      <c r="L428" s="455"/>
      <c r="M428" s="455"/>
      <c r="N428" s="455"/>
      <c r="O428" s="455"/>
      <c r="P428" s="455"/>
      <c r="Q428" s="455"/>
      <c r="R428" s="455"/>
      <c r="S428" s="455"/>
      <c r="T428" s="455"/>
    </row>
    <row r="429" spans="1:20" ht="17.25" customHeight="1">
      <c r="A429" s="454"/>
      <c r="B429" s="454"/>
      <c r="C429" s="454"/>
      <c r="D429" s="454"/>
      <c r="E429" s="454"/>
      <c r="F429" s="454"/>
      <c r="G429" s="454"/>
      <c r="H429" s="454"/>
      <c r="I429" s="527"/>
      <c r="J429" s="455"/>
      <c r="K429" s="455"/>
      <c r="L429" s="455"/>
      <c r="M429" s="455"/>
      <c r="N429" s="455"/>
      <c r="O429" s="455"/>
      <c r="P429" s="455"/>
      <c r="Q429" s="455"/>
      <c r="R429" s="455"/>
      <c r="S429" s="455"/>
      <c r="T429" s="455"/>
    </row>
    <row r="430" spans="1:20" ht="17.25" customHeight="1">
      <c r="A430" s="454"/>
      <c r="B430" s="454"/>
      <c r="C430" s="454"/>
      <c r="D430" s="454"/>
      <c r="E430" s="454"/>
      <c r="F430" s="454"/>
      <c r="G430" s="454"/>
      <c r="H430" s="454"/>
      <c r="I430" s="527"/>
      <c r="J430" s="455"/>
      <c r="K430" s="455"/>
      <c r="L430" s="455"/>
      <c r="M430" s="455"/>
      <c r="N430" s="455"/>
      <c r="O430" s="455"/>
      <c r="P430" s="455"/>
      <c r="Q430" s="455"/>
      <c r="R430" s="455"/>
      <c r="S430" s="455"/>
      <c r="T430" s="455"/>
    </row>
    <row r="431" spans="1:20" ht="17.25" customHeight="1">
      <c r="A431" s="454"/>
      <c r="B431" s="454"/>
      <c r="C431" s="454"/>
      <c r="D431" s="454"/>
      <c r="E431" s="454"/>
      <c r="F431" s="454"/>
      <c r="G431" s="454"/>
      <c r="H431" s="454"/>
      <c r="I431" s="527"/>
      <c r="J431" s="455"/>
      <c r="K431" s="455"/>
      <c r="L431" s="455"/>
      <c r="M431" s="455"/>
      <c r="N431" s="455"/>
      <c r="O431" s="455"/>
      <c r="P431" s="455"/>
      <c r="Q431" s="455"/>
      <c r="R431" s="455"/>
      <c r="S431" s="455"/>
      <c r="T431" s="455"/>
    </row>
    <row r="432" spans="1:20" ht="17.25" customHeight="1">
      <c r="A432" s="454"/>
      <c r="B432" s="454"/>
      <c r="C432" s="454"/>
      <c r="D432" s="454"/>
      <c r="E432" s="454"/>
      <c r="F432" s="454"/>
      <c r="G432" s="454"/>
      <c r="H432" s="454"/>
      <c r="I432" s="527"/>
      <c r="J432" s="455"/>
      <c r="K432" s="455"/>
      <c r="L432" s="455"/>
      <c r="M432" s="455"/>
      <c r="N432" s="455"/>
      <c r="O432" s="455"/>
      <c r="P432" s="455"/>
      <c r="Q432" s="455"/>
      <c r="R432" s="455"/>
      <c r="S432" s="455"/>
      <c r="T432" s="455"/>
    </row>
    <row r="433" spans="1:20" ht="17.25" customHeight="1">
      <c r="A433" s="454"/>
      <c r="B433" s="454"/>
      <c r="C433" s="454"/>
      <c r="D433" s="454"/>
      <c r="E433" s="454"/>
      <c r="F433" s="454"/>
      <c r="G433" s="454"/>
      <c r="H433" s="454"/>
      <c r="I433" s="527"/>
      <c r="J433" s="455"/>
      <c r="K433" s="455"/>
      <c r="L433" s="455"/>
      <c r="M433" s="455"/>
      <c r="N433" s="455"/>
      <c r="O433" s="455"/>
      <c r="P433" s="455"/>
      <c r="Q433" s="455"/>
      <c r="R433" s="455"/>
      <c r="S433" s="455"/>
      <c r="T433" s="455"/>
    </row>
    <row r="434" spans="1:20" ht="17.25" customHeight="1">
      <c r="A434" s="454"/>
      <c r="B434" s="454"/>
      <c r="C434" s="454"/>
      <c r="D434" s="454"/>
      <c r="E434" s="454"/>
      <c r="F434" s="454"/>
      <c r="G434" s="454"/>
      <c r="H434" s="454"/>
      <c r="I434" s="527"/>
      <c r="J434" s="455"/>
      <c r="K434" s="455"/>
      <c r="L434" s="455"/>
      <c r="M434" s="455"/>
      <c r="N434" s="455"/>
      <c r="O434" s="455"/>
      <c r="P434" s="455"/>
      <c r="Q434" s="455"/>
      <c r="R434" s="455"/>
      <c r="S434" s="455"/>
      <c r="T434" s="455"/>
    </row>
    <row r="435" spans="1:20" ht="17.25" customHeight="1">
      <c r="A435" s="454"/>
      <c r="B435" s="454"/>
      <c r="C435" s="454"/>
      <c r="D435" s="454"/>
      <c r="E435" s="454"/>
      <c r="F435" s="454"/>
      <c r="G435" s="454"/>
      <c r="H435" s="454"/>
      <c r="I435" s="527"/>
      <c r="J435" s="455"/>
      <c r="K435" s="455"/>
      <c r="L435" s="455"/>
      <c r="M435" s="455"/>
      <c r="N435" s="455"/>
      <c r="O435" s="455"/>
      <c r="P435" s="455"/>
      <c r="Q435" s="455"/>
      <c r="R435" s="455"/>
      <c r="S435" s="455"/>
      <c r="T435" s="455"/>
    </row>
    <row r="436" spans="1:20" ht="17.25" customHeight="1">
      <c r="A436" s="454"/>
      <c r="B436" s="454"/>
      <c r="C436" s="454"/>
      <c r="D436" s="454"/>
      <c r="E436" s="454"/>
      <c r="F436" s="454"/>
      <c r="G436" s="454"/>
      <c r="H436" s="454"/>
      <c r="I436" s="527"/>
      <c r="J436" s="455"/>
      <c r="K436" s="455"/>
      <c r="L436" s="455"/>
      <c r="M436" s="455"/>
      <c r="N436" s="455"/>
      <c r="O436" s="455"/>
      <c r="P436" s="455"/>
      <c r="Q436" s="455"/>
      <c r="R436" s="455"/>
      <c r="S436" s="455"/>
      <c r="T436" s="455"/>
    </row>
    <row r="437" spans="1:20" ht="17.25" customHeight="1">
      <c r="A437" s="454"/>
      <c r="B437" s="454"/>
      <c r="C437" s="454"/>
      <c r="D437" s="454"/>
      <c r="E437" s="454"/>
      <c r="F437" s="454"/>
      <c r="G437" s="454"/>
      <c r="H437" s="454"/>
      <c r="I437" s="527"/>
      <c r="J437" s="455"/>
      <c r="K437" s="455"/>
      <c r="L437" s="455"/>
      <c r="M437" s="455"/>
      <c r="N437" s="455"/>
      <c r="O437" s="455"/>
      <c r="P437" s="455"/>
      <c r="Q437" s="455"/>
      <c r="R437" s="455"/>
      <c r="S437" s="455"/>
      <c r="T437" s="455"/>
    </row>
    <row r="438" spans="1:20" ht="17.25" customHeight="1">
      <c r="A438" s="454"/>
      <c r="B438" s="454"/>
      <c r="C438" s="454"/>
      <c r="D438" s="454"/>
      <c r="E438" s="454"/>
      <c r="F438" s="454"/>
      <c r="G438" s="454"/>
      <c r="H438" s="454"/>
      <c r="I438" s="527"/>
      <c r="J438" s="455"/>
      <c r="K438" s="455"/>
      <c r="L438" s="455"/>
      <c r="M438" s="455"/>
      <c r="N438" s="455"/>
      <c r="O438" s="455"/>
      <c r="P438" s="455"/>
      <c r="Q438" s="455"/>
      <c r="R438" s="455"/>
      <c r="S438" s="455"/>
      <c r="T438" s="455"/>
    </row>
    <row r="439" spans="1:20" ht="17.25" customHeight="1">
      <c r="A439" s="454"/>
      <c r="B439" s="454"/>
      <c r="C439" s="454"/>
      <c r="D439" s="454"/>
      <c r="E439" s="454"/>
      <c r="F439" s="454"/>
      <c r="G439" s="454"/>
      <c r="H439" s="454"/>
      <c r="I439" s="527"/>
      <c r="J439" s="455"/>
      <c r="K439" s="455"/>
      <c r="L439" s="455"/>
      <c r="M439" s="455"/>
      <c r="N439" s="455"/>
      <c r="O439" s="455"/>
      <c r="P439" s="455"/>
      <c r="Q439" s="455"/>
      <c r="R439" s="455"/>
      <c r="S439" s="455"/>
      <c r="T439" s="455"/>
    </row>
    <row r="440" spans="1:20" ht="17.25" customHeight="1">
      <c r="A440" s="454"/>
      <c r="B440" s="454"/>
      <c r="C440" s="454"/>
      <c r="D440" s="454"/>
      <c r="E440" s="454"/>
      <c r="F440" s="454"/>
      <c r="G440" s="454"/>
      <c r="H440" s="454"/>
      <c r="I440" s="527"/>
      <c r="J440" s="455"/>
      <c r="K440" s="455"/>
      <c r="L440" s="455"/>
      <c r="M440" s="455"/>
      <c r="N440" s="455"/>
      <c r="O440" s="455"/>
      <c r="P440" s="455"/>
      <c r="Q440" s="455"/>
      <c r="R440" s="455"/>
      <c r="S440" s="455"/>
      <c r="T440" s="455"/>
    </row>
    <row r="441" spans="1:20" ht="17.25" customHeight="1">
      <c r="A441" s="454"/>
      <c r="B441" s="454"/>
      <c r="C441" s="454"/>
      <c r="D441" s="454"/>
      <c r="E441" s="454"/>
      <c r="F441" s="454"/>
      <c r="G441" s="454"/>
      <c r="H441" s="454"/>
      <c r="I441" s="527"/>
      <c r="J441" s="455"/>
      <c r="K441" s="455"/>
      <c r="L441" s="455"/>
      <c r="M441" s="455"/>
      <c r="N441" s="455"/>
      <c r="O441" s="455"/>
      <c r="P441" s="455"/>
      <c r="Q441" s="455"/>
      <c r="R441" s="455"/>
      <c r="S441" s="455"/>
      <c r="T441" s="455"/>
    </row>
    <row r="442" spans="1:20" ht="17.25" customHeight="1">
      <c r="A442" s="454"/>
      <c r="B442" s="454"/>
      <c r="C442" s="454"/>
      <c r="D442" s="454"/>
      <c r="E442" s="454"/>
      <c r="F442" s="454"/>
      <c r="G442" s="454"/>
      <c r="H442" s="454"/>
      <c r="I442" s="527"/>
      <c r="J442" s="455"/>
      <c r="K442" s="455"/>
      <c r="L442" s="455"/>
      <c r="M442" s="455"/>
      <c r="N442" s="455"/>
      <c r="O442" s="455"/>
      <c r="P442" s="455"/>
      <c r="Q442" s="455"/>
      <c r="R442" s="455"/>
      <c r="S442" s="455"/>
      <c r="T442" s="455"/>
    </row>
    <row r="443" spans="1:20" ht="17.25" customHeight="1">
      <c r="A443" s="454"/>
      <c r="B443" s="454"/>
      <c r="C443" s="454"/>
      <c r="D443" s="454"/>
      <c r="E443" s="454"/>
      <c r="F443" s="454"/>
      <c r="G443" s="454"/>
      <c r="H443" s="454"/>
      <c r="I443" s="527"/>
      <c r="J443" s="455"/>
      <c r="K443" s="455"/>
      <c r="L443" s="455"/>
      <c r="M443" s="455"/>
      <c r="N443" s="455"/>
      <c r="O443" s="455"/>
      <c r="P443" s="455"/>
      <c r="Q443" s="455"/>
      <c r="R443" s="455"/>
      <c r="S443" s="455"/>
      <c r="T443" s="455"/>
    </row>
    <row r="444" spans="1:20" ht="17.25" customHeight="1">
      <c r="A444" s="454"/>
      <c r="B444" s="454"/>
      <c r="C444" s="454"/>
      <c r="D444" s="454"/>
      <c r="E444" s="454"/>
      <c r="F444" s="454"/>
      <c r="G444" s="454"/>
      <c r="H444" s="454"/>
      <c r="I444" s="527"/>
      <c r="J444" s="455"/>
      <c r="K444" s="455"/>
      <c r="L444" s="455"/>
      <c r="M444" s="455"/>
      <c r="N444" s="455"/>
      <c r="O444" s="455"/>
      <c r="P444" s="455"/>
      <c r="Q444" s="455"/>
      <c r="R444" s="455"/>
      <c r="S444" s="455"/>
      <c r="T444" s="455"/>
    </row>
    <row r="445" spans="1:20" ht="17.25" customHeight="1">
      <c r="A445" s="454"/>
      <c r="B445" s="454"/>
      <c r="C445" s="454"/>
      <c r="D445" s="454"/>
      <c r="E445" s="454"/>
      <c r="F445" s="454"/>
      <c r="G445" s="454"/>
      <c r="H445" s="454"/>
      <c r="I445" s="527"/>
      <c r="J445" s="455"/>
      <c r="K445" s="455"/>
      <c r="L445" s="455"/>
      <c r="M445" s="455"/>
      <c r="N445" s="455"/>
      <c r="O445" s="455"/>
      <c r="P445" s="455"/>
      <c r="Q445" s="455"/>
      <c r="R445" s="455"/>
      <c r="S445" s="455"/>
      <c r="T445" s="455"/>
    </row>
    <row r="446" spans="1:20" ht="17.25" customHeight="1">
      <c r="A446" s="454"/>
      <c r="B446" s="454"/>
      <c r="C446" s="454"/>
      <c r="D446" s="454"/>
      <c r="E446" s="454"/>
      <c r="F446" s="454"/>
      <c r="G446" s="454"/>
      <c r="H446" s="454"/>
      <c r="I446" s="527"/>
      <c r="J446" s="455"/>
      <c r="K446" s="455"/>
      <c r="L446" s="455"/>
      <c r="M446" s="455"/>
      <c r="N446" s="455"/>
      <c r="O446" s="455"/>
      <c r="P446" s="455"/>
      <c r="Q446" s="455"/>
      <c r="R446" s="455"/>
      <c r="S446" s="455"/>
      <c r="T446" s="455"/>
    </row>
    <row r="447" spans="1:20" ht="17.25" customHeight="1">
      <c r="A447" s="454"/>
      <c r="B447" s="454"/>
      <c r="C447" s="454"/>
      <c r="D447" s="454"/>
      <c r="E447" s="454"/>
      <c r="F447" s="454"/>
      <c r="G447" s="454"/>
      <c r="H447" s="454"/>
      <c r="I447" s="527"/>
      <c r="J447" s="455"/>
      <c r="K447" s="455"/>
      <c r="L447" s="455"/>
      <c r="M447" s="455"/>
      <c r="N447" s="455"/>
      <c r="O447" s="455"/>
      <c r="P447" s="455"/>
      <c r="Q447" s="455"/>
      <c r="R447" s="455"/>
      <c r="S447" s="455"/>
      <c r="T447" s="455"/>
    </row>
    <row r="448" spans="1:20" ht="17.25" customHeight="1">
      <c r="A448" s="454"/>
      <c r="B448" s="454"/>
      <c r="C448" s="454"/>
      <c r="D448" s="454"/>
      <c r="E448" s="454"/>
      <c r="F448" s="454"/>
      <c r="G448" s="454"/>
      <c r="H448" s="454"/>
      <c r="I448" s="527"/>
      <c r="J448" s="455"/>
      <c r="K448" s="455"/>
      <c r="L448" s="455"/>
      <c r="M448" s="455"/>
      <c r="N448" s="455"/>
      <c r="O448" s="455"/>
      <c r="P448" s="455"/>
      <c r="Q448" s="455"/>
      <c r="R448" s="455"/>
      <c r="S448" s="455"/>
      <c r="T448" s="455"/>
    </row>
    <row r="449" spans="1:20" ht="17.25" customHeight="1">
      <c r="A449" s="454"/>
      <c r="B449" s="454"/>
      <c r="C449" s="454"/>
      <c r="D449" s="454"/>
      <c r="E449" s="454"/>
      <c r="F449" s="454"/>
      <c r="G449" s="454"/>
      <c r="H449" s="454"/>
      <c r="I449" s="527"/>
      <c r="J449" s="455"/>
      <c r="K449" s="455"/>
      <c r="L449" s="455"/>
      <c r="M449" s="455"/>
      <c r="N449" s="455"/>
      <c r="O449" s="455"/>
      <c r="P449" s="455"/>
      <c r="Q449" s="455"/>
      <c r="R449" s="455"/>
      <c r="S449" s="455"/>
      <c r="T449" s="455"/>
    </row>
    <row r="450" spans="1:20" ht="17.25" customHeight="1">
      <c r="A450" s="454"/>
      <c r="B450" s="454"/>
      <c r="C450" s="454"/>
      <c r="D450" s="454"/>
      <c r="E450" s="454"/>
      <c r="F450" s="454"/>
      <c r="G450" s="454"/>
      <c r="H450" s="454"/>
      <c r="I450" s="527"/>
      <c r="J450" s="455"/>
      <c r="K450" s="455"/>
      <c r="L450" s="455"/>
      <c r="M450" s="455"/>
      <c r="N450" s="455"/>
      <c r="O450" s="455"/>
      <c r="P450" s="455"/>
      <c r="Q450" s="455"/>
      <c r="R450" s="455"/>
      <c r="S450" s="455"/>
      <c r="T450" s="455"/>
    </row>
    <row r="451" spans="1:20" ht="17.25" customHeight="1">
      <c r="A451" s="454"/>
      <c r="B451" s="454"/>
      <c r="C451" s="454"/>
      <c r="D451" s="454"/>
      <c r="E451" s="454"/>
      <c r="F451" s="454"/>
      <c r="G451" s="454"/>
      <c r="H451" s="454"/>
      <c r="I451" s="527"/>
      <c r="J451" s="455"/>
      <c r="K451" s="455"/>
      <c r="L451" s="455"/>
      <c r="M451" s="455"/>
      <c r="N451" s="455"/>
      <c r="O451" s="455"/>
      <c r="P451" s="455"/>
      <c r="Q451" s="455"/>
      <c r="R451" s="455"/>
      <c r="S451" s="455"/>
      <c r="T451" s="455"/>
    </row>
    <row r="452" spans="1:20" ht="17.25" customHeight="1">
      <c r="A452" s="454"/>
      <c r="B452" s="454"/>
      <c r="C452" s="454"/>
      <c r="D452" s="454"/>
      <c r="E452" s="454"/>
      <c r="F452" s="454"/>
      <c r="G452" s="454"/>
      <c r="H452" s="454"/>
      <c r="I452" s="527"/>
      <c r="J452" s="455"/>
      <c r="K452" s="455"/>
      <c r="L452" s="455"/>
      <c r="M452" s="455"/>
      <c r="N452" s="455"/>
      <c r="O452" s="455"/>
      <c r="P452" s="455"/>
      <c r="Q452" s="455"/>
      <c r="R452" s="455"/>
      <c r="S452" s="455"/>
      <c r="T452" s="455"/>
    </row>
    <row r="453" spans="1:20" ht="17.25" customHeight="1">
      <c r="A453" s="454"/>
      <c r="B453" s="454"/>
      <c r="C453" s="454"/>
      <c r="D453" s="454"/>
      <c r="E453" s="454"/>
      <c r="F453" s="454"/>
      <c r="G453" s="454"/>
      <c r="H453" s="454"/>
      <c r="I453" s="527"/>
      <c r="J453" s="455"/>
      <c r="K453" s="455"/>
      <c r="L453" s="455"/>
      <c r="M453" s="455"/>
      <c r="N453" s="455"/>
      <c r="O453" s="455"/>
      <c r="P453" s="455"/>
      <c r="Q453" s="455"/>
      <c r="R453" s="455"/>
      <c r="S453" s="455"/>
      <c r="T453" s="455"/>
    </row>
    <row r="454" spans="1:20" ht="17.25" customHeight="1">
      <c r="A454" s="454"/>
      <c r="B454" s="454"/>
      <c r="C454" s="454"/>
      <c r="D454" s="454"/>
      <c r="E454" s="454"/>
      <c r="F454" s="454"/>
      <c r="G454" s="454"/>
      <c r="H454" s="454"/>
      <c r="I454" s="527"/>
      <c r="J454" s="455"/>
      <c r="K454" s="455"/>
      <c r="L454" s="455"/>
      <c r="M454" s="455"/>
      <c r="N454" s="455"/>
      <c r="O454" s="455"/>
      <c r="P454" s="455"/>
      <c r="Q454" s="455"/>
      <c r="R454" s="455"/>
      <c r="S454" s="455"/>
      <c r="T454" s="455"/>
    </row>
    <row r="455" spans="1:20" ht="17.25" customHeight="1">
      <c r="A455" s="454"/>
      <c r="B455" s="454"/>
      <c r="C455" s="454"/>
      <c r="D455" s="454"/>
      <c r="E455" s="454"/>
      <c r="F455" s="454"/>
      <c r="G455" s="454"/>
      <c r="H455" s="454"/>
      <c r="I455" s="527"/>
      <c r="J455" s="455"/>
      <c r="K455" s="455"/>
      <c r="L455" s="455"/>
      <c r="M455" s="455"/>
      <c r="N455" s="455"/>
      <c r="O455" s="455"/>
      <c r="P455" s="455"/>
      <c r="Q455" s="455"/>
      <c r="R455" s="455"/>
      <c r="S455" s="455"/>
      <c r="T455" s="455"/>
    </row>
    <row r="456" spans="1:20" ht="17.25" customHeight="1">
      <c r="A456" s="454"/>
      <c r="B456" s="454"/>
      <c r="C456" s="454"/>
      <c r="D456" s="454"/>
      <c r="E456" s="454"/>
      <c r="F456" s="454"/>
      <c r="G456" s="454"/>
      <c r="H456" s="454"/>
      <c r="I456" s="527"/>
      <c r="J456" s="455"/>
      <c r="K456" s="455"/>
      <c r="L456" s="455"/>
      <c r="M456" s="455"/>
      <c r="N456" s="455"/>
      <c r="O456" s="455"/>
      <c r="P456" s="455"/>
      <c r="Q456" s="455"/>
      <c r="R456" s="455"/>
      <c r="S456" s="455"/>
      <c r="T456" s="455"/>
    </row>
    <row r="457" spans="1:20" ht="17.25" customHeight="1">
      <c r="A457" s="454"/>
      <c r="B457" s="454"/>
      <c r="C457" s="454"/>
      <c r="D457" s="454"/>
      <c r="E457" s="454"/>
      <c r="F457" s="454"/>
      <c r="G457" s="454"/>
      <c r="H457" s="454"/>
      <c r="I457" s="527"/>
      <c r="J457" s="455"/>
      <c r="K457" s="455"/>
      <c r="L457" s="455"/>
      <c r="M457" s="455"/>
      <c r="N457" s="455"/>
      <c r="O457" s="455"/>
      <c r="P457" s="455"/>
      <c r="Q457" s="455"/>
      <c r="R457" s="455"/>
      <c r="S457" s="455"/>
      <c r="T457" s="455"/>
    </row>
    <row r="458" spans="1:20" ht="17.25" customHeight="1">
      <c r="A458" s="454"/>
      <c r="B458" s="454"/>
      <c r="C458" s="454"/>
      <c r="D458" s="454"/>
      <c r="E458" s="454"/>
      <c r="F458" s="454"/>
      <c r="G458" s="454"/>
      <c r="H458" s="454"/>
      <c r="I458" s="527"/>
      <c r="J458" s="455"/>
      <c r="K458" s="455"/>
      <c r="L458" s="455"/>
      <c r="M458" s="455"/>
      <c r="N458" s="455"/>
      <c r="O458" s="455"/>
      <c r="P458" s="455"/>
      <c r="Q458" s="455"/>
      <c r="R458" s="455"/>
      <c r="S458" s="455"/>
      <c r="T458" s="455"/>
    </row>
    <row r="459" spans="1:20" ht="17.25" customHeight="1">
      <c r="A459" s="454"/>
      <c r="B459" s="454"/>
      <c r="C459" s="454"/>
      <c r="D459" s="454"/>
      <c r="E459" s="454"/>
      <c r="F459" s="454"/>
      <c r="G459" s="454"/>
      <c r="H459" s="454"/>
      <c r="I459" s="527"/>
      <c r="J459" s="455"/>
      <c r="K459" s="455"/>
      <c r="L459" s="455"/>
      <c r="M459" s="455"/>
      <c r="N459" s="455"/>
      <c r="O459" s="455"/>
      <c r="P459" s="455"/>
      <c r="Q459" s="455"/>
      <c r="R459" s="455"/>
      <c r="S459" s="455"/>
      <c r="T459" s="455"/>
    </row>
    <row r="460" spans="1:20" ht="17.25" customHeight="1">
      <c r="A460" s="454"/>
      <c r="B460" s="454"/>
      <c r="C460" s="454"/>
      <c r="D460" s="454"/>
      <c r="E460" s="454"/>
      <c r="F460" s="454"/>
      <c r="G460" s="454"/>
      <c r="H460" s="454"/>
      <c r="I460" s="527"/>
      <c r="J460" s="455"/>
      <c r="K460" s="455"/>
      <c r="L460" s="455"/>
      <c r="M460" s="455"/>
      <c r="N460" s="455"/>
      <c r="O460" s="455"/>
      <c r="P460" s="455"/>
      <c r="Q460" s="455"/>
      <c r="R460" s="455"/>
      <c r="S460" s="455"/>
      <c r="T460" s="455"/>
    </row>
    <row r="461" spans="1:20" ht="17.25" customHeight="1">
      <c r="A461" s="454"/>
      <c r="B461" s="454"/>
      <c r="C461" s="454"/>
      <c r="D461" s="454"/>
      <c r="E461" s="454"/>
      <c r="F461" s="454"/>
      <c r="G461" s="454"/>
      <c r="H461" s="454"/>
      <c r="I461" s="527"/>
      <c r="J461" s="455"/>
      <c r="K461" s="455"/>
      <c r="L461" s="455"/>
      <c r="M461" s="455"/>
      <c r="N461" s="455"/>
      <c r="O461" s="455"/>
      <c r="P461" s="455"/>
      <c r="Q461" s="455"/>
      <c r="R461" s="455"/>
      <c r="S461" s="455"/>
      <c r="T461" s="455"/>
    </row>
    <row r="462" spans="1:20" ht="17.25" customHeight="1">
      <c r="A462" s="454"/>
      <c r="B462" s="454"/>
      <c r="C462" s="454"/>
      <c r="D462" s="454"/>
      <c r="E462" s="454"/>
      <c r="F462" s="454"/>
      <c r="G462" s="454"/>
      <c r="H462" s="454"/>
      <c r="I462" s="527"/>
      <c r="J462" s="455"/>
      <c r="K462" s="455"/>
      <c r="L462" s="455"/>
      <c r="M462" s="455"/>
      <c r="N462" s="455"/>
      <c r="O462" s="455"/>
      <c r="P462" s="455"/>
      <c r="Q462" s="455"/>
      <c r="R462" s="455"/>
      <c r="S462" s="455"/>
      <c r="T462" s="455"/>
    </row>
    <row r="463" spans="1:20" ht="17.25" customHeight="1">
      <c r="A463" s="454"/>
      <c r="B463" s="454"/>
      <c r="C463" s="454"/>
      <c r="D463" s="454"/>
      <c r="E463" s="454"/>
      <c r="F463" s="454"/>
      <c r="G463" s="454"/>
      <c r="H463" s="454"/>
      <c r="I463" s="527"/>
      <c r="J463" s="455"/>
      <c r="K463" s="455"/>
      <c r="L463" s="455"/>
      <c r="M463" s="455"/>
      <c r="N463" s="455"/>
      <c r="O463" s="455"/>
      <c r="P463" s="455"/>
      <c r="Q463" s="455"/>
      <c r="R463" s="455"/>
      <c r="S463" s="455"/>
      <c r="T463" s="455"/>
    </row>
    <row r="464" spans="1:20" ht="17.25" customHeight="1">
      <c r="A464" s="454"/>
      <c r="B464" s="454"/>
      <c r="C464" s="454"/>
      <c r="D464" s="454"/>
      <c r="E464" s="454"/>
      <c r="F464" s="454"/>
      <c r="G464" s="454"/>
      <c r="H464" s="454"/>
      <c r="I464" s="527"/>
      <c r="J464" s="455"/>
      <c r="K464" s="455"/>
      <c r="L464" s="455"/>
      <c r="M464" s="455"/>
      <c r="N464" s="455"/>
      <c r="O464" s="455"/>
      <c r="P464" s="455"/>
      <c r="Q464" s="455"/>
      <c r="R464" s="455"/>
      <c r="S464" s="455"/>
      <c r="T464" s="455"/>
    </row>
    <row r="465" spans="1:20" ht="17.25" customHeight="1">
      <c r="A465" s="454"/>
      <c r="B465" s="454"/>
      <c r="C465" s="454"/>
      <c r="D465" s="454"/>
      <c r="E465" s="454"/>
      <c r="F465" s="454"/>
      <c r="G465" s="454"/>
      <c r="H465" s="454"/>
      <c r="I465" s="527"/>
      <c r="J465" s="455"/>
      <c r="K465" s="455"/>
      <c r="L465" s="455"/>
      <c r="M465" s="455"/>
      <c r="N465" s="455"/>
      <c r="O465" s="455"/>
      <c r="P465" s="455"/>
      <c r="Q465" s="455"/>
      <c r="R465" s="455"/>
      <c r="S465" s="455"/>
      <c r="T465" s="455"/>
    </row>
    <row r="466" spans="1:20" ht="17.25" customHeight="1">
      <c r="A466" s="454"/>
      <c r="B466" s="454"/>
      <c r="C466" s="454"/>
      <c r="D466" s="454"/>
      <c r="E466" s="454"/>
      <c r="F466" s="454"/>
      <c r="G466" s="454"/>
      <c r="H466" s="454"/>
      <c r="I466" s="527"/>
      <c r="J466" s="455"/>
      <c r="K466" s="455"/>
      <c r="L466" s="455"/>
      <c r="M466" s="455"/>
      <c r="N466" s="455"/>
      <c r="O466" s="455"/>
      <c r="P466" s="455"/>
      <c r="Q466" s="455"/>
      <c r="R466" s="455"/>
      <c r="S466" s="455"/>
      <c r="T466" s="455"/>
    </row>
    <row r="467" spans="1:20" ht="17.25" customHeight="1">
      <c r="A467" s="454"/>
      <c r="B467" s="454"/>
      <c r="C467" s="454"/>
      <c r="D467" s="454"/>
      <c r="E467" s="454"/>
      <c r="F467" s="454"/>
      <c r="G467" s="454"/>
      <c r="H467" s="454"/>
      <c r="I467" s="527"/>
      <c r="J467" s="455"/>
      <c r="K467" s="455"/>
      <c r="L467" s="455"/>
      <c r="M467" s="455"/>
      <c r="N467" s="455"/>
      <c r="O467" s="455"/>
      <c r="P467" s="455"/>
      <c r="Q467" s="455"/>
      <c r="R467" s="455"/>
      <c r="S467" s="455"/>
      <c r="T467" s="455"/>
    </row>
    <row r="468" spans="1:20" ht="17.25" customHeight="1">
      <c r="A468" s="454"/>
      <c r="B468" s="454"/>
      <c r="C468" s="454"/>
      <c r="D468" s="454"/>
      <c r="E468" s="454"/>
      <c r="F468" s="454"/>
      <c r="G468" s="454"/>
      <c r="H468" s="454"/>
      <c r="I468" s="527"/>
      <c r="J468" s="455"/>
      <c r="K468" s="455"/>
      <c r="L468" s="455"/>
      <c r="M468" s="455"/>
      <c r="N468" s="455"/>
      <c r="O468" s="455"/>
      <c r="P468" s="455"/>
      <c r="Q468" s="455"/>
      <c r="R468" s="455"/>
      <c r="S468" s="455"/>
      <c r="T468" s="455"/>
    </row>
    <row r="469" spans="1:20" ht="17.25" customHeight="1">
      <c r="A469" s="454"/>
      <c r="B469" s="454"/>
      <c r="C469" s="454"/>
      <c r="D469" s="454"/>
      <c r="E469" s="454"/>
      <c r="F469" s="454"/>
      <c r="G469" s="454"/>
      <c r="H469" s="454"/>
      <c r="I469" s="527"/>
      <c r="J469" s="455"/>
      <c r="K469" s="455"/>
      <c r="L469" s="455"/>
      <c r="M469" s="455"/>
      <c r="N469" s="455"/>
      <c r="O469" s="455"/>
      <c r="P469" s="455"/>
      <c r="Q469" s="455"/>
      <c r="R469" s="455"/>
      <c r="S469" s="455"/>
      <c r="T469" s="455"/>
    </row>
    <row r="470" spans="1:20" ht="17.25" customHeight="1">
      <c r="A470" s="454"/>
      <c r="B470" s="454"/>
      <c r="C470" s="454"/>
      <c r="D470" s="454"/>
      <c r="E470" s="454"/>
      <c r="F470" s="454"/>
      <c r="G470" s="454"/>
      <c r="H470" s="454"/>
      <c r="I470" s="527"/>
      <c r="J470" s="455"/>
      <c r="K470" s="455"/>
      <c r="L470" s="455"/>
      <c r="M470" s="455"/>
      <c r="N470" s="455"/>
      <c r="O470" s="455"/>
      <c r="P470" s="455"/>
      <c r="Q470" s="455"/>
      <c r="R470" s="455"/>
      <c r="S470" s="455"/>
      <c r="T470" s="455"/>
    </row>
    <row r="471" spans="1:20" ht="17.25" customHeight="1">
      <c r="A471" s="454"/>
      <c r="B471" s="454"/>
      <c r="C471" s="454"/>
      <c r="D471" s="454"/>
      <c r="E471" s="454"/>
      <c r="F471" s="454"/>
      <c r="G471" s="454"/>
      <c r="H471" s="454"/>
      <c r="I471" s="527"/>
      <c r="J471" s="455"/>
      <c r="K471" s="455"/>
      <c r="L471" s="455"/>
      <c r="M471" s="455"/>
      <c r="N471" s="455"/>
      <c r="O471" s="455"/>
      <c r="P471" s="455"/>
      <c r="Q471" s="455"/>
      <c r="R471" s="455"/>
      <c r="S471" s="455"/>
      <c r="T471" s="455"/>
    </row>
    <row r="472" spans="1:20" ht="17.25" customHeight="1">
      <c r="A472" s="454"/>
      <c r="B472" s="454"/>
      <c r="C472" s="454"/>
      <c r="D472" s="454"/>
      <c r="E472" s="454"/>
      <c r="F472" s="454"/>
      <c r="G472" s="454"/>
      <c r="H472" s="454"/>
      <c r="I472" s="527"/>
      <c r="J472" s="455"/>
      <c r="K472" s="455"/>
      <c r="L472" s="455"/>
      <c r="M472" s="455"/>
      <c r="N472" s="455"/>
      <c r="O472" s="455"/>
      <c r="P472" s="455"/>
      <c r="Q472" s="455"/>
      <c r="R472" s="455"/>
      <c r="S472" s="455"/>
      <c r="T472" s="455"/>
    </row>
    <row r="473" spans="1:20" ht="17.25" customHeight="1">
      <c r="A473" s="454"/>
      <c r="B473" s="454"/>
      <c r="C473" s="454"/>
      <c r="D473" s="454"/>
      <c r="E473" s="454"/>
      <c r="F473" s="454"/>
      <c r="G473" s="454"/>
      <c r="H473" s="454"/>
      <c r="I473" s="527"/>
      <c r="J473" s="455"/>
      <c r="K473" s="455"/>
      <c r="L473" s="455"/>
      <c r="M473" s="455"/>
      <c r="N473" s="455"/>
      <c r="O473" s="455"/>
      <c r="P473" s="455"/>
      <c r="Q473" s="455"/>
      <c r="R473" s="455"/>
      <c r="S473" s="455"/>
      <c r="T473" s="455"/>
    </row>
    <row r="474" spans="1:20" ht="17.25" customHeight="1">
      <c r="A474" s="454"/>
      <c r="B474" s="454"/>
      <c r="C474" s="454"/>
      <c r="D474" s="454"/>
      <c r="E474" s="454"/>
      <c r="F474" s="454"/>
      <c r="G474" s="454"/>
      <c r="H474" s="454"/>
      <c r="I474" s="527"/>
      <c r="J474" s="455"/>
      <c r="K474" s="455"/>
      <c r="L474" s="455"/>
      <c r="M474" s="455"/>
      <c r="N474" s="455"/>
      <c r="O474" s="455"/>
      <c r="P474" s="455"/>
      <c r="Q474" s="455"/>
      <c r="R474" s="455"/>
      <c r="S474" s="455"/>
      <c r="T474" s="455"/>
    </row>
    <row r="475" spans="1:20" ht="17.25" customHeight="1">
      <c r="A475" s="454"/>
      <c r="B475" s="454"/>
      <c r="C475" s="454"/>
      <c r="D475" s="454"/>
      <c r="E475" s="454"/>
      <c r="F475" s="454"/>
      <c r="G475" s="454"/>
      <c r="H475" s="454"/>
      <c r="I475" s="527"/>
      <c r="J475" s="455"/>
      <c r="K475" s="455"/>
      <c r="L475" s="455"/>
      <c r="M475" s="455"/>
      <c r="N475" s="455"/>
      <c r="O475" s="455"/>
      <c r="P475" s="455"/>
      <c r="Q475" s="455"/>
      <c r="R475" s="455"/>
      <c r="S475" s="455"/>
      <c r="T475" s="455"/>
    </row>
    <row r="476" spans="1:20" ht="17.25" customHeight="1">
      <c r="A476" s="454"/>
      <c r="B476" s="454"/>
      <c r="C476" s="454"/>
      <c r="D476" s="454"/>
      <c r="E476" s="454"/>
      <c r="F476" s="454"/>
      <c r="G476" s="454"/>
      <c r="H476" s="454"/>
      <c r="I476" s="527"/>
      <c r="J476" s="455"/>
      <c r="K476" s="455"/>
      <c r="L476" s="455"/>
      <c r="M476" s="455"/>
      <c r="N476" s="455"/>
      <c r="O476" s="455"/>
      <c r="P476" s="455"/>
      <c r="Q476" s="455"/>
      <c r="R476" s="455"/>
      <c r="S476" s="455"/>
      <c r="T476" s="455"/>
    </row>
    <row r="477" spans="1:20" ht="17.25" customHeight="1">
      <c r="A477" s="454"/>
      <c r="B477" s="454"/>
      <c r="C477" s="454"/>
      <c r="D477" s="454"/>
      <c r="E477" s="454"/>
      <c r="F477" s="454"/>
      <c r="G477" s="454"/>
      <c r="H477" s="454"/>
      <c r="I477" s="527"/>
      <c r="J477" s="455"/>
      <c r="K477" s="455"/>
      <c r="L477" s="455"/>
      <c r="M477" s="455"/>
      <c r="N477" s="455"/>
      <c r="O477" s="455"/>
      <c r="P477" s="455"/>
      <c r="Q477" s="455"/>
      <c r="R477" s="455"/>
      <c r="S477" s="455"/>
      <c r="T477" s="455"/>
    </row>
    <row r="478" spans="1:20" ht="17.25" customHeight="1">
      <c r="A478" s="454"/>
      <c r="B478" s="454"/>
      <c r="C478" s="454"/>
      <c r="D478" s="454"/>
      <c r="E478" s="454"/>
      <c r="F478" s="454"/>
      <c r="G478" s="454"/>
      <c r="H478" s="454"/>
      <c r="I478" s="527"/>
      <c r="J478" s="455"/>
      <c r="K478" s="455"/>
      <c r="L478" s="455"/>
      <c r="M478" s="455"/>
      <c r="N478" s="455"/>
      <c r="O478" s="455"/>
      <c r="P478" s="455"/>
      <c r="Q478" s="455"/>
      <c r="R478" s="455"/>
      <c r="S478" s="455"/>
      <c r="T478" s="455"/>
    </row>
    <row r="479" spans="1:20" ht="17.25" customHeight="1">
      <c r="A479" s="454"/>
      <c r="B479" s="454"/>
      <c r="C479" s="454"/>
      <c r="D479" s="454"/>
      <c r="E479" s="454"/>
      <c r="F479" s="454"/>
      <c r="G479" s="454"/>
      <c r="H479" s="454"/>
      <c r="I479" s="527"/>
      <c r="J479" s="455"/>
      <c r="K479" s="455"/>
      <c r="L479" s="455"/>
      <c r="M479" s="455"/>
      <c r="N479" s="455"/>
      <c r="O479" s="455"/>
      <c r="P479" s="455"/>
      <c r="Q479" s="455"/>
      <c r="R479" s="455"/>
      <c r="S479" s="455"/>
      <c r="T479" s="455"/>
    </row>
    <row r="480" spans="1:20" ht="17.25" customHeight="1">
      <c r="A480" s="454"/>
      <c r="B480" s="454"/>
      <c r="C480" s="454"/>
      <c r="D480" s="454"/>
      <c r="E480" s="454"/>
      <c r="F480" s="454"/>
      <c r="G480" s="454"/>
      <c r="H480" s="454"/>
      <c r="I480" s="527"/>
      <c r="J480" s="455"/>
      <c r="K480" s="455"/>
      <c r="L480" s="455"/>
      <c r="M480" s="455"/>
      <c r="N480" s="455"/>
      <c r="O480" s="455"/>
      <c r="P480" s="455"/>
      <c r="Q480" s="455"/>
      <c r="R480" s="455"/>
      <c r="S480" s="455"/>
      <c r="T480" s="455"/>
    </row>
    <row r="481" spans="1:20" ht="17.25" customHeight="1">
      <c r="A481" s="454"/>
      <c r="B481" s="454"/>
      <c r="C481" s="454"/>
      <c r="D481" s="454"/>
      <c r="E481" s="454"/>
      <c r="F481" s="454"/>
      <c r="G481" s="454"/>
      <c r="H481" s="454"/>
      <c r="I481" s="527"/>
      <c r="J481" s="455"/>
      <c r="K481" s="455"/>
      <c r="L481" s="455"/>
      <c r="M481" s="455"/>
      <c r="N481" s="455"/>
      <c r="O481" s="455"/>
      <c r="P481" s="455"/>
      <c r="Q481" s="455"/>
      <c r="R481" s="455"/>
      <c r="S481" s="455"/>
      <c r="T481" s="455"/>
    </row>
    <row r="482" spans="1:20" ht="17.25" customHeight="1">
      <c r="A482" s="454"/>
      <c r="B482" s="454"/>
      <c r="C482" s="454"/>
      <c r="D482" s="454"/>
      <c r="E482" s="454"/>
      <c r="F482" s="454"/>
      <c r="G482" s="454"/>
      <c r="H482" s="454"/>
      <c r="I482" s="527"/>
      <c r="J482" s="455"/>
      <c r="K482" s="455"/>
      <c r="L482" s="455"/>
      <c r="M482" s="455"/>
      <c r="N482" s="455"/>
      <c r="O482" s="455"/>
      <c r="P482" s="455"/>
      <c r="Q482" s="455"/>
      <c r="R482" s="455"/>
      <c r="S482" s="455"/>
      <c r="T482" s="455"/>
    </row>
    <row r="483" spans="1:20" ht="17.25" customHeight="1">
      <c r="A483" s="454"/>
      <c r="B483" s="454"/>
      <c r="C483" s="454"/>
      <c r="D483" s="454"/>
      <c r="E483" s="454"/>
      <c r="F483" s="454"/>
      <c r="G483" s="454"/>
      <c r="H483" s="454"/>
      <c r="I483" s="527"/>
      <c r="J483" s="455"/>
      <c r="K483" s="455"/>
      <c r="L483" s="455"/>
      <c r="M483" s="455"/>
      <c r="N483" s="455"/>
      <c r="O483" s="455"/>
      <c r="P483" s="455"/>
      <c r="Q483" s="455"/>
      <c r="R483" s="455"/>
      <c r="S483" s="455"/>
      <c r="T483" s="455"/>
    </row>
    <row r="484" spans="1:20" ht="17.25" customHeight="1">
      <c r="A484" s="454"/>
      <c r="B484" s="454"/>
      <c r="C484" s="454"/>
      <c r="D484" s="454"/>
      <c r="E484" s="454"/>
      <c r="F484" s="454"/>
      <c r="G484" s="454"/>
      <c r="H484" s="454"/>
      <c r="I484" s="527"/>
      <c r="J484" s="455"/>
      <c r="K484" s="455"/>
      <c r="L484" s="455"/>
      <c r="M484" s="455"/>
      <c r="N484" s="455"/>
      <c r="O484" s="455"/>
      <c r="P484" s="455"/>
      <c r="Q484" s="455"/>
      <c r="R484" s="455"/>
      <c r="S484" s="455"/>
      <c r="T484" s="455"/>
    </row>
    <row r="485" spans="1:20" ht="17.25" customHeight="1">
      <c r="A485" s="454"/>
      <c r="B485" s="454"/>
      <c r="C485" s="454"/>
      <c r="D485" s="454"/>
      <c r="E485" s="454"/>
      <c r="F485" s="454"/>
      <c r="G485" s="454"/>
      <c r="H485" s="454"/>
      <c r="I485" s="527"/>
      <c r="J485" s="455"/>
      <c r="K485" s="455"/>
      <c r="L485" s="455"/>
      <c r="M485" s="455"/>
      <c r="N485" s="455"/>
      <c r="O485" s="455"/>
      <c r="P485" s="455"/>
      <c r="Q485" s="455"/>
      <c r="R485" s="455"/>
      <c r="S485" s="455"/>
      <c r="T485" s="455"/>
    </row>
    <row r="486" spans="1:20" ht="17.25" customHeight="1">
      <c r="A486" s="454"/>
      <c r="B486" s="454"/>
      <c r="C486" s="454"/>
      <c r="D486" s="454"/>
      <c r="E486" s="454"/>
      <c r="F486" s="454"/>
      <c r="G486" s="454"/>
      <c r="H486" s="454"/>
      <c r="I486" s="527"/>
      <c r="J486" s="455"/>
      <c r="K486" s="455"/>
      <c r="L486" s="455"/>
      <c r="M486" s="455"/>
      <c r="N486" s="455"/>
      <c r="O486" s="455"/>
      <c r="P486" s="455"/>
      <c r="Q486" s="455"/>
      <c r="R486" s="455"/>
      <c r="S486" s="455"/>
      <c r="T486" s="455"/>
    </row>
    <row r="487" spans="1:20" ht="17.25" customHeight="1">
      <c r="A487" s="454"/>
      <c r="B487" s="454"/>
      <c r="C487" s="454"/>
      <c r="D487" s="454"/>
      <c r="E487" s="454"/>
      <c r="F487" s="454"/>
      <c r="G487" s="454"/>
      <c r="H487" s="454"/>
      <c r="I487" s="527"/>
      <c r="J487" s="455"/>
      <c r="K487" s="455"/>
      <c r="L487" s="455"/>
      <c r="M487" s="455"/>
      <c r="N487" s="455"/>
      <c r="O487" s="455"/>
      <c r="P487" s="455"/>
      <c r="Q487" s="455"/>
      <c r="R487" s="455"/>
      <c r="S487" s="455"/>
      <c r="T487" s="455"/>
    </row>
    <row r="488" spans="1:20" ht="17.25" customHeight="1">
      <c r="A488" s="454"/>
      <c r="B488" s="454"/>
      <c r="C488" s="454"/>
      <c r="D488" s="454"/>
      <c r="E488" s="454"/>
      <c r="F488" s="454"/>
      <c r="G488" s="454"/>
      <c r="H488" s="454"/>
      <c r="I488" s="527"/>
      <c r="J488" s="455"/>
      <c r="K488" s="455"/>
      <c r="L488" s="455"/>
      <c r="M488" s="455"/>
      <c r="N488" s="455"/>
      <c r="O488" s="455"/>
      <c r="P488" s="455"/>
      <c r="Q488" s="455"/>
      <c r="R488" s="455"/>
      <c r="S488" s="455"/>
      <c r="T488" s="455"/>
    </row>
    <row r="489" spans="1:20" ht="17.25" customHeight="1">
      <c r="A489" s="454"/>
      <c r="B489" s="454"/>
      <c r="C489" s="454"/>
      <c r="D489" s="454"/>
      <c r="E489" s="454"/>
      <c r="F489" s="454"/>
      <c r="G489" s="454"/>
      <c r="H489" s="454"/>
      <c r="I489" s="527"/>
      <c r="J489" s="455"/>
      <c r="K489" s="455"/>
      <c r="L489" s="455"/>
      <c r="M489" s="455"/>
      <c r="N489" s="455"/>
      <c r="O489" s="455"/>
      <c r="P489" s="455"/>
      <c r="Q489" s="455"/>
      <c r="R489" s="455"/>
      <c r="S489" s="455"/>
      <c r="T489" s="455"/>
    </row>
    <row r="490" spans="1:20" ht="17.25" customHeight="1">
      <c r="A490" s="454"/>
      <c r="B490" s="454"/>
      <c r="C490" s="454"/>
      <c r="D490" s="454"/>
      <c r="E490" s="454"/>
      <c r="F490" s="454"/>
      <c r="G490" s="454"/>
      <c r="H490" s="454"/>
      <c r="I490" s="527"/>
      <c r="J490" s="455"/>
      <c r="K490" s="455"/>
      <c r="L490" s="455"/>
      <c r="M490" s="455"/>
      <c r="N490" s="455"/>
      <c r="O490" s="455"/>
      <c r="P490" s="455"/>
      <c r="Q490" s="455"/>
      <c r="R490" s="455"/>
      <c r="S490" s="455"/>
      <c r="T490" s="455"/>
    </row>
    <row r="491" spans="1:20" ht="17.25" customHeight="1">
      <c r="A491" s="454"/>
      <c r="B491" s="454"/>
      <c r="C491" s="454"/>
      <c r="D491" s="454"/>
      <c r="E491" s="454"/>
      <c r="F491" s="454"/>
      <c r="G491" s="454"/>
      <c r="H491" s="454"/>
      <c r="I491" s="527"/>
      <c r="J491" s="455"/>
      <c r="K491" s="455"/>
      <c r="L491" s="455"/>
      <c r="M491" s="455"/>
      <c r="N491" s="455"/>
      <c r="O491" s="455"/>
      <c r="P491" s="455"/>
      <c r="Q491" s="455"/>
      <c r="R491" s="455"/>
      <c r="S491" s="455"/>
      <c r="T491" s="455"/>
    </row>
    <row r="492" spans="1:20" ht="17.25" customHeight="1">
      <c r="A492" s="454"/>
      <c r="B492" s="454"/>
      <c r="C492" s="454"/>
      <c r="D492" s="454"/>
      <c r="E492" s="454"/>
      <c r="F492" s="454"/>
      <c r="G492" s="454"/>
      <c r="H492" s="454"/>
      <c r="I492" s="527"/>
      <c r="J492" s="455"/>
      <c r="K492" s="455"/>
      <c r="L492" s="455"/>
      <c r="M492" s="455"/>
      <c r="N492" s="455"/>
      <c r="O492" s="455"/>
      <c r="P492" s="455"/>
      <c r="Q492" s="455"/>
      <c r="R492" s="455"/>
      <c r="S492" s="455"/>
      <c r="T492" s="455"/>
    </row>
    <row r="493" spans="1:20" ht="17.25" customHeight="1">
      <c r="A493" s="454"/>
      <c r="B493" s="454"/>
      <c r="C493" s="454"/>
      <c r="D493" s="454"/>
      <c r="E493" s="454"/>
      <c r="F493" s="454"/>
      <c r="G493" s="454"/>
      <c r="H493" s="454"/>
      <c r="I493" s="527"/>
      <c r="J493" s="455"/>
      <c r="K493" s="455"/>
      <c r="L493" s="455"/>
      <c r="M493" s="455"/>
      <c r="N493" s="455"/>
      <c r="O493" s="455"/>
      <c r="P493" s="455"/>
      <c r="Q493" s="455"/>
      <c r="R493" s="455"/>
      <c r="S493" s="455"/>
      <c r="T493" s="455"/>
    </row>
    <row r="494" spans="1:20" ht="17.25" customHeight="1">
      <c r="A494" s="454"/>
      <c r="B494" s="454"/>
      <c r="C494" s="454"/>
      <c r="D494" s="454"/>
      <c r="E494" s="454"/>
      <c r="F494" s="454"/>
      <c r="G494" s="454"/>
      <c r="H494" s="454"/>
      <c r="I494" s="527"/>
      <c r="J494" s="455"/>
      <c r="K494" s="455"/>
      <c r="L494" s="455"/>
      <c r="M494" s="455"/>
      <c r="N494" s="455"/>
      <c r="O494" s="455"/>
      <c r="P494" s="455"/>
      <c r="Q494" s="455"/>
      <c r="R494" s="455"/>
      <c r="S494" s="455"/>
      <c r="T494" s="455"/>
    </row>
    <row r="495" spans="1:20" ht="17.25" customHeight="1">
      <c r="A495" s="454"/>
      <c r="B495" s="454"/>
      <c r="C495" s="454"/>
      <c r="D495" s="454"/>
      <c r="E495" s="454"/>
      <c r="F495" s="454"/>
      <c r="G495" s="454"/>
      <c r="H495" s="454"/>
      <c r="I495" s="527"/>
      <c r="J495" s="455"/>
      <c r="K495" s="455"/>
      <c r="L495" s="455"/>
      <c r="M495" s="455"/>
      <c r="N495" s="455"/>
      <c r="O495" s="455"/>
      <c r="P495" s="455"/>
      <c r="Q495" s="455"/>
      <c r="R495" s="455"/>
      <c r="S495" s="455"/>
      <c r="T495" s="455"/>
    </row>
    <row r="496" spans="1:20" ht="17.25" customHeight="1">
      <c r="A496" s="454"/>
      <c r="B496" s="454"/>
      <c r="C496" s="454"/>
      <c r="D496" s="454"/>
      <c r="E496" s="454"/>
      <c r="F496" s="454"/>
      <c r="G496" s="454"/>
      <c r="H496" s="454"/>
      <c r="I496" s="527"/>
      <c r="J496" s="455"/>
      <c r="K496" s="455"/>
      <c r="L496" s="455"/>
      <c r="M496" s="455"/>
      <c r="N496" s="455"/>
      <c r="O496" s="455"/>
      <c r="P496" s="455"/>
      <c r="Q496" s="455"/>
      <c r="R496" s="455"/>
      <c r="S496" s="455"/>
      <c r="T496" s="455"/>
    </row>
    <row r="497" spans="1:20" ht="17.25" customHeight="1">
      <c r="A497" s="454"/>
      <c r="B497" s="454"/>
      <c r="C497" s="454"/>
      <c r="D497" s="454"/>
      <c r="E497" s="454"/>
      <c r="F497" s="454"/>
      <c r="G497" s="454"/>
      <c r="H497" s="454"/>
      <c r="I497" s="527"/>
      <c r="J497" s="455"/>
      <c r="K497" s="455"/>
      <c r="L497" s="455"/>
      <c r="M497" s="455"/>
      <c r="N497" s="455"/>
      <c r="O497" s="455"/>
      <c r="P497" s="455"/>
      <c r="Q497" s="455"/>
      <c r="R497" s="455"/>
      <c r="S497" s="455"/>
      <c r="T497" s="455"/>
    </row>
    <row r="498" spans="1:20" ht="17.25" customHeight="1">
      <c r="A498" s="454"/>
      <c r="B498" s="454"/>
      <c r="C498" s="454"/>
      <c r="D498" s="454"/>
      <c r="E498" s="454"/>
      <c r="F498" s="454"/>
      <c r="G498" s="454"/>
      <c r="H498" s="454"/>
      <c r="I498" s="527"/>
      <c r="J498" s="455"/>
      <c r="K498" s="455"/>
      <c r="L498" s="455"/>
      <c r="M498" s="455"/>
      <c r="N498" s="455"/>
      <c r="O498" s="455"/>
      <c r="P498" s="455"/>
      <c r="Q498" s="455"/>
      <c r="R498" s="455"/>
      <c r="S498" s="455"/>
      <c r="T498" s="455"/>
    </row>
    <row r="499" spans="1:20" ht="17.25" customHeight="1">
      <c r="A499" s="454"/>
      <c r="B499" s="454"/>
      <c r="C499" s="454"/>
      <c r="D499" s="454"/>
      <c r="E499" s="454"/>
      <c r="F499" s="454"/>
      <c r="G499" s="454"/>
      <c r="H499" s="454"/>
      <c r="I499" s="527"/>
      <c r="J499" s="455"/>
      <c r="K499" s="455"/>
      <c r="L499" s="455"/>
      <c r="M499" s="455"/>
      <c r="N499" s="455"/>
      <c r="O499" s="455"/>
      <c r="P499" s="455"/>
      <c r="Q499" s="455"/>
      <c r="R499" s="455"/>
      <c r="S499" s="455"/>
      <c r="T499" s="455"/>
    </row>
    <row r="500" spans="1:20" ht="17.25" customHeight="1">
      <c r="A500" s="454"/>
      <c r="B500" s="454"/>
      <c r="C500" s="454"/>
      <c r="D500" s="454"/>
      <c r="E500" s="454"/>
      <c r="F500" s="454"/>
      <c r="G500" s="454"/>
      <c r="H500" s="454"/>
      <c r="I500" s="527"/>
      <c r="J500" s="455"/>
      <c r="K500" s="455"/>
      <c r="L500" s="455"/>
      <c r="M500" s="455"/>
      <c r="N500" s="455"/>
      <c r="O500" s="455"/>
      <c r="P500" s="455"/>
      <c r="Q500" s="455"/>
      <c r="R500" s="455"/>
      <c r="S500" s="455"/>
      <c r="T500" s="455"/>
    </row>
    <row r="501" spans="1:20" ht="17.25" customHeight="1">
      <c r="A501" s="454"/>
      <c r="B501" s="454"/>
      <c r="C501" s="454"/>
      <c r="D501" s="454"/>
      <c r="E501" s="454"/>
      <c r="F501" s="454"/>
      <c r="G501" s="454"/>
      <c r="H501" s="454"/>
      <c r="I501" s="527"/>
      <c r="J501" s="455"/>
      <c r="K501" s="455"/>
      <c r="L501" s="455"/>
      <c r="M501" s="455"/>
      <c r="N501" s="455"/>
      <c r="O501" s="455"/>
      <c r="P501" s="455"/>
      <c r="Q501" s="455"/>
      <c r="R501" s="455"/>
      <c r="S501" s="455"/>
      <c r="T501" s="455"/>
    </row>
    <row r="502" spans="1:20" ht="17.25" customHeight="1">
      <c r="A502" s="454"/>
      <c r="B502" s="454"/>
      <c r="C502" s="454"/>
      <c r="D502" s="454"/>
      <c r="E502" s="454"/>
      <c r="F502" s="454"/>
      <c r="G502" s="454"/>
      <c r="H502" s="454"/>
      <c r="I502" s="527"/>
      <c r="J502" s="455"/>
      <c r="K502" s="455"/>
      <c r="L502" s="455"/>
      <c r="M502" s="455"/>
      <c r="N502" s="455"/>
      <c r="O502" s="455"/>
      <c r="P502" s="455"/>
      <c r="Q502" s="455"/>
      <c r="R502" s="455"/>
      <c r="S502" s="455"/>
      <c r="T502" s="455"/>
    </row>
    <row r="503" spans="1:20" ht="17.25" customHeight="1">
      <c r="A503" s="454"/>
      <c r="B503" s="454"/>
      <c r="C503" s="454"/>
      <c r="D503" s="454"/>
      <c r="E503" s="454"/>
      <c r="F503" s="454"/>
      <c r="G503" s="454"/>
      <c r="H503" s="454"/>
      <c r="I503" s="527"/>
      <c r="J503" s="455"/>
      <c r="K503" s="455"/>
      <c r="L503" s="455"/>
      <c r="M503" s="455"/>
      <c r="N503" s="455"/>
      <c r="O503" s="455"/>
      <c r="P503" s="455"/>
      <c r="Q503" s="455"/>
      <c r="R503" s="455"/>
      <c r="S503" s="455"/>
      <c r="T503" s="455"/>
    </row>
    <row r="504" spans="1:20" ht="17.25" customHeight="1">
      <c r="A504" s="454"/>
      <c r="B504" s="454"/>
      <c r="C504" s="454"/>
      <c r="D504" s="454"/>
      <c r="E504" s="454"/>
      <c r="F504" s="454"/>
      <c r="G504" s="454"/>
      <c r="H504" s="454"/>
      <c r="I504" s="527"/>
      <c r="J504" s="455"/>
      <c r="K504" s="455"/>
      <c r="L504" s="455"/>
      <c r="M504" s="455"/>
      <c r="N504" s="455"/>
      <c r="O504" s="455"/>
      <c r="P504" s="455"/>
      <c r="Q504" s="455"/>
      <c r="R504" s="455"/>
      <c r="S504" s="455"/>
      <c r="T504" s="455"/>
    </row>
    <row r="505" spans="1:20" ht="17.25" customHeight="1">
      <c r="A505" s="454"/>
      <c r="B505" s="454"/>
      <c r="C505" s="454"/>
      <c r="D505" s="454"/>
      <c r="E505" s="454"/>
      <c r="F505" s="454"/>
      <c r="G505" s="454"/>
      <c r="H505" s="454"/>
      <c r="I505" s="527"/>
      <c r="J505" s="455"/>
      <c r="K505" s="455"/>
      <c r="L505" s="455"/>
      <c r="M505" s="455"/>
      <c r="N505" s="455"/>
      <c r="O505" s="455"/>
      <c r="P505" s="455"/>
      <c r="Q505" s="455"/>
      <c r="R505" s="455"/>
      <c r="S505" s="455"/>
      <c r="T505" s="455"/>
    </row>
    <row r="506" spans="1:20" ht="17.25" customHeight="1">
      <c r="A506" s="454"/>
      <c r="B506" s="454"/>
      <c r="C506" s="454"/>
      <c r="D506" s="454"/>
      <c r="E506" s="454"/>
      <c r="F506" s="454"/>
      <c r="G506" s="454"/>
      <c r="H506" s="454"/>
      <c r="I506" s="527"/>
      <c r="J506" s="455"/>
      <c r="K506" s="455"/>
      <c r="L506" s="455"/>
      <c r="M506" s="455"/>
      <c r="N506" s="455"/>
      <c r="O506" s="455"/>
      <c r="P506" s="455"/>
      <c r="Q506" s="455"/>
      <c r="R506" s="455"/>
      <c r="S506" s="455"/>
      <c r="T506" s="455"/>
    </row>
    <row r="507" spans="1:20" ht="17.25" customHeight="1">
      <c r="A507" s="454"/>
      <c r="B507" s="454"/>
      <c r="C507" s="454"/>
      <c r="D507" s="454"/>
      <c r="E507" s="454"/>
      <c r="F507" s="454"/>
      <c r="G507" s="454"/>
      <c r="H507" s="454"/>
      <c r="I507" s="527"/>
      <c r="J507" s="455"/>
      <c r="K507" s="455"/>
      <c r="L507" s="455"/>
      <c r="M507" s="455"/>
      <c r="N507" s="455"/>
      <c r="O507" s="455"/>
      <c r="P507" s="455"/>
      <c r="Q507" s="455"/>
      <c r="R507" s="455"/>
      <c r="S507" s="455"/>
      <c r="T507" s="455"/>
    </row>
    <row r="508" spans="1:20" ht="17.25" customHeight="1">
      <c r="A508" s="454"/>
      <c r="B508" s="454"/>
      <c r="C508" s="454"/>
      <c r="D508" s="454"/>
      <c r="E508" s="454"/>
      <c r="F508" s="454"/>
      <c r="G508" s="454"/>
      <c r="H508" s="454"/>
      <c r="I508" s="527"/>
      <c r="J508" s="455"/>
      <c r="K508" s="455"/>
      <c r="L508" s="455"/>
      <c r="M508" s="455"/>
      <c r="N508" s="455"/>
      <c r="O508" s="455"/>
      <c r="P508" s="455"/>
      <c r="Q508" s="455"/>
      <c r="R508" s="455"/>
      <c r="S508" s="455"/>
      <c r="T508" s="455"/>
    </row>
    <row r="509" spans="1:20" ht="17.25" customHeight="1">
      <c r="A509" s="454"/>
      <c r="B509" s="454"/>
      <c r="C509" s="454"/>
      <c r="D509" s="454"/>
      <c r="E509" s="454"/>
      <c r="F509" s="454"/>
      <c r="G509" s="454"/>
      <c r="H509" s="454"/>
      <c r="I509" s="527"/>
      <c r="J509" s="455"/>
      <c r="K509" s="455"/>
      <c r="L509" s="455"/>
      <c r="M509" s="455"/>
      <c r="N509" s="455"/>
      <c r="O509" s="455"/>
      <c r="P509" s="455"/>
      <c r="Q509" s="455"/>
      <c r="R509" s="455"/>
      <c r="S509" s="455"/>
      <c r="T509" s="455"/>
    </row>
    <row r="510" spans="1:20" ht="17.25" customHeight="1">
      <c r="A510" s="454"/>
      <c r="B510" s="454"/>
      <c r="C510" s="454"/>
      <c r="D510" s="454"/>
      <c r="E510" s="454"/>
      <c r="F510" s="454"/>
      <c r="G510" s="454"/>
      <c r="H510" s="454"/>
      <c r="I510" s="527"/>
      <c r="J510" s="455"/>
      <c r="K510" s="455"/>
      <c r="L510" s="455"/>
      <c r="M510" s="455"/>
      <c r="N510" s="455"/>
      <c r="O510" s="455"/>
      <c r="P510" s="455"/>
      <c r="Q510" s="455"/>
      <c r="R510" s="455"/>
      <c r="S510" s="455"/>
      <c r="T510" s="455"/>
    </row>
    <row r="511" spans="1:20" ht="17.25" customHeight="1">
      <c r="A511" s="454"/>
      <c r="B511" s="454"/>
      <c r="C511" s="454"/>
      <c r="D511" s="454"/>
      <c r="E511" s="454"/>
      <c r="F511" s="454"/>
      <c r="G511" s="454"/>
      <c r="H511" s="454"/>
      <c r="I511" s="527"/>
      <c r="J511" s="455"/>
      <c r="K511" s="455"/>
      <c r="L511" s="455"/>
      <c r="M511" s="455"/>
      <c r="N511" s="455"/>
      <c r="O511" s="455"/>
      <c r="P511" s="455"/>
      <c r="Q511" s="455"/>
      <c r="R511" s="455"/>
      <c r="S511" s="455"/>
      <c r="T511" s="455"/>
    </row>
    <row r="512" spans="1:20" ht="17.25" customHeight="1">
      <c r="A512" s="454"/>
      <c r="B512" s="454"/>
      <c r="C512" s="454"/>
      <c r="D512" s="454"/>
      <c r="E512" s="454"/>
      <c r="F512" s="454"/>
      <c r="G512" s="454"/>
      <c r="H512" s="454"/>
      <c r="I512" s="527"/>
      <c r="J512" s="455"/>
      <c r="K512" s="455"/>
      <c r="L512" s="455"/>
      <c r="M512" s="455"/>
      <c r="N512" s="455"/>
      <c r="O512" s="455"/>
      <c r="P512" s="455"/>
      <c r="Q512" s="455"/>
      <c r="R512" s="455"/>
      <c r="S512" s="455"/>
      <c r="T512" s="455"/>
    </row>
    <row r="513" spans="1:20" ht="17.25" customHeight="1">
      <c r="A513" s="454"/>
      <c r="B513" s="454"/>
      <c r="C513" s="454"/>
      <c r="D513" s="454"/>
      <c r="E513" s="454"/>
      <c r="F513" s="454"/>
      <c r="G513" s="454"/>
      <c r="H513" s="454"/>
      <c r="I513" s="527"/>
      <c r="J513" s="455"/>
      <c r="K513" s="455"/>
      <c r="L513" s="455"/>
      <c r="M513" s="455"/>
      <c r="N513" s="455"/>
      <c r="O513" s="455"/>
      <c r="P513" s="455"/>
      <c r="Q513" s="455"/>
      <c r="R513" s="455"/>
      <c r="S513" s="455"/>
      <c r="T513" s="455"/>
    </row>
    <row r="514" spans="1:20" ht="17.25" customHeight="1">
      <c r="A514" s="454"/>
      <c r="B514" s="454"/>
      <c r="C514" s="454"/>
      <c r="D514" s="454"/>
      <c r="E514" s="454"/>
      <c r="F514" s="454"/>
      <c r="G514" s="454"/>
      <c r="H514" s="454"/>
      <c r="I514" s="527"/>
      <c r="J514" s="455"/>
      <c r="K514" s="455"/>
      <c r="L514" s="455"/>
      <c r="M514" s="455"/>
      <c r="N514" s="455"/>
      <c r="O514" s="455"/>
      <c r="P514" s="455"/>
      <c r="Q514" s="455"/>
      <c r="R514" s="455"/>
      <c r="S514" s="455"/>
      <c r="T514" s="455"/>
    </row>
    <row r="515" spans="1:20" ht="17.25" customHeight="1">
      <c r="A515" s="454"/>
      <c r="B515" s="454"/>
      <c r="C515" s="454"/>
      <c r="D515" s="454"/>
      <c r="E515" s="454"/>
      <c r="F515" s="454"/>
      <c r="G515" s="454"/>
      <c r="H515" s="454"/>
      <c r="I515" s="527"/>
      <c r="J515" s="455"/>
      <c r="K515" s="455"/>
      <c r="L515" s="455"/>
      <c r="M515" s="455"/>
      <c r="N515" s="455"/>
      <c r="O515" s="455"/>
      <c r="P515" s="455"/>
      <c r="Q515" s="455"/>
      <c r="R515" s="455"/>
      <c r="S515" s="455"/>
      <c r="T515" s="455"/>
    </row>
    <row r="516" spans="1:20" ht="17.25" customHeight="1">
      <c r="A516" s="454"/>
      <c r="B516" s="454"/>
      <c r="C516" s="454"/>
      <c r="D516" s="454"/>
      <c r="E516" s="454"/>
      <c r="F516" s="454"/>
      <c r="G516" s="454"/>
      <c r="H516" s="454"/>
      <c r="I516" s="527"/>
      <c r="J516" s="455"/>
      <c r="K516" s="455"/>
      <c r="L516" s="455"/>
      <c r="M516" s="455"/>
      <c r="N516" s="455"/>
      <c r="O516" s="455"/>
      <c r="P516" s="455"/>
      <c r="Q516" s="455"/>
      <c r="R516" s="455"/>
      <c r="S516" s="455"/>
      <c r="T516" s="455"/>
    </row>
    <row r="517" spans="1:20" ht="17.25" customHeight="1">
      <c r="A517" s="454"/>
      <c r="B517" s="454"/>
      <c r="C517" s="454"/>
      <c r="D517" s="454"/>
      <c r="E517" s="454"/>
      <c r="F517" s="454"/>
      <c r="G517" s="454"/>
      <c r="H517" s="454"/>
      <c r="I517" s="527"/>
      <c r="J517" s="455"/>
      <c r="K517" s="455"/>
      <c r="L517" s="455"/>
      <c r="M517" s="455"/>
      <c r="N517" s="455"/>
      <c r="O517" s="455"/>
      <c r="P517" s="455"/>
      <c r="Q517" s="455"/>
      <c r="R517" s="455"/>
      <c r="S517" s="455"/>
      <c r="T517" s="455"/>
    </row>
    <row r="518" spans="1:20" ht="17.25" customHeight="1">
      <c r="A518" s="454"/>
      <c r="B518" s="454"/>
      <c r="C518" s="454"/>
      <c r="D518" s="454"/>
      <c r="E518" s="454"/>
      <c r="F518" s="454"/>
      <c r="G518" s="454"/>
      <c r="H518" s="454"/>
      <c r="I518" s="527"/>
      <c r="J518" s="455"/>
      <c r="K518" s="455"/>
      <c r="L518" s="455"/>
      <c r="M518" s="455"/>
      <c r="N518" s="455"/>
      <c r="O518" s="455"/>
      <c r="P518" s="455"/>
      <c r="Q518" s="455"/>
      <c r="R518" s="455"/>
      <c r="S518" s="455"/>
      <c r="T518" s="455"/>
    </row>
    <row r="519" spans="1:20" ht="17.25" customHeight="1">
      <c r="A519" s="454"/>
      <c r="B519" s="454"/>
      <c r="C519" s="454"/>
      <c r="D519" s="454"/>
      <c r="E519" s="454"/>
      <c r="F519" s="454"/>
      <c r="G519" s="454"/>
      <c r="H519" s="454"/>
      <c r="I519" s="527"/>
      <c r="J519" s="455"/>
      <c r="K519" s="455"/>
      <c r="L519" s="455"/>
      <c r="M519" s="455"/>
      <c r="N519" s="455"/>
      <c r="O519" s="455"/>
      <c r="P519" s="455"/>
      <c r="Q519" s="455"/>
      <c r="R519" s="455"/>
      <c r="S519" s="455"/>
      <c r="T519" s="455"/>
    </row>
    <row r="520" spans="1:20" ht="17.25" customHeight="1">
      <c r="A520" s="454"/>
      <c r="B520" s="454"/>
      <c r="C520" s="454"/>
      <c r="D520" s="454"/>
      <c r="E520" s="454"/>
      <c r="F520" s="454"/>
      <c r="G520" s="454"/>
      <c r="H520" s="454"/>
      <c r="I520" s="527"/>
      <c r="J520" s="455"/>
      <c r="K520" s="455"/>
      <c r="L520" s="455"/>
      <c r="M520" s="455"/>
      <c r="N520" s="455"/>
      <c r="O520" s="455"/>
      <c r="P520" s="455"/>
      <c r="Q520" s="455"/>
      <c r="R520" s="455"/>
      <c r="S520" s="455"/>
      <c r="T520" s="455"/>
    </row>
    <row r="521" spans="1:20" ht="17.25" customHeight="1">
      <c r="A521" s="454"/>
      <c r="B521" s="454"/>
      <c r="C521" s="454"/>
      <c r="D521" s="454"/>
      <c r="E521" s="454"/>
      <c r="F521" s="454"/>
      <c r="G521" s="454"/>
      <c r="H521" s="454"/>
      <c r="I521" s="527"/>
      <c r="J521" s="455"/>
      <c r="K521" s="455"/>
      <c r="L521" s="455"/>
      <c r="M521" s="455"/>
      <c r="N521" s="455"/>
      <c r="O521" s="455"/>
      <c r="P521" s="455"/>
      <c r="Q521" s="455"/>
      <c r="R521" s="455"/>
      <c r="S521" s="455"/>
      <c r="T521" s="455"/>
    </row>
    <row r="522" spans="1:20" ht="17.25" customHeight="1">
      <c r="A522" s="454"/>
      <c r="B522" s="454"/>
      <c r="C522" s="454"/>
      <c r="D522" s="454"/>
      <c r="E522" s="454"/>
      <c r="F522" s="454"/>
      <c r="G522" s="454"/>
      <c r="H522" s="454"/>
      <c r="I522" s="527"/>
      <c r="J522" s="455"/>
      <c r="K522" s="455"/>
      <c r="L522" s="455"/>
      <c r="M522" s="455"/>
      <c r="N522" s="455"/>
      <c r="O522" s="455"/>
      <c r="P522" s="455"/>
      <c r="Q522" s="455"/>
      <c r="R522" s="455"/>
      <c r="S522" s="455"/>
      <c r="T522" s="455"/>
    </row>
    <row r="523" spans="1:20" ht="17.25" customHeight="1">
      <c r="A523" s="454"/>
      <c r="B523" s="454"/>
      <c r="C523" s="454"/>
      <c r="D523" s="454"/>
      <c r="E523" s="454"/>
      <c r="F523" s="454"/>
      <c r="G523" s="454"/>
      <c r="H523" s="454"/>
      <c r="I523" s="527"/>
      <c r="J523" s="455"/>
      <c r="K523" s="455"/>
      <c r="L523" s="455"/>
      <c r="M523" s="455"/>
      <c r="N523" s="455"/>
      <c r="O523" s="455"/>
      <c r="P523" s="455"/>
      <c r="Q523" s="455"/>
      <c r="R523" s="455"/>
      <c r="S523" s="455"/>
      <c r="T523" s="455"/>
    </row>
    <row r="524" spans="1:20" ht="17.25" customHeight="1">
      <c r="A524" s="454"/>
      <c r="B524" s="454"/>
      <c r="C524" s="454"/>
      <c r="D524" s="454"/>
      <c r="E524" s="454"/>
      <c r="F524" s="454"/>
      <c r="G524" s="454"/>
      <c r="H524" s="454"/>
      <c r="I524" s="527"/>
      <c r="J524" s="455"/>
      <c r="K524" s="455"/>
      <c r="L524" s="455"/>
      <c r="M524" s="455"/>
      <c r="N524" s="455"/>
      <c r="O524" s="455"/>
      <c r="P524" s="455"/>
      <c r="Q524" s="455"/>
      <c r="R524" s="455"/>
      <c r="S524" s="455"/>
      <c r="T524" s="455"/>
    </row>
    <row r="525" spans="1:20" ht="17.25" customHeight="1">
      <c r="A525" s="454"/>
      <c r="B525" s="454"/>
      <c r="C525" s="454"/>
      <c r="D525" s="454"/>
      <c r="E525" s="454"/>
      <c r="F525" s="454"/>
      <c r="G525" s="454"/>
      <c r="H525" s="454"/>
      <c r="I525" s="527"/>
      <c r="J525" s="455"/>
      <c r="K525" s="455"/>
      <c r="L525" s="455"/>
      <c r="M525" s="455"/>
      <c r="N525" s="455"/>
      <c r="O525" s="455"/>
      <c r="P525" s="455"/>
      <c r="Q525" s="455"/>
      <c r="R525" s="455"/>
      <c r="S525" s="455"/>
      <c r="T525" s="455"/>
    </row>
    <row r="526" spans="1:20" ht="17.25" customHeight="1">
      <c r="A526" s="454"/>
      <c r="B526" s="454"/>
      <c r="C526" s="454"/>
      <c r="D526" s="454"/>
      <c r="E526" s="454"/>
      <c r="F526" s="454"/>
      <c r="G526" s="454"/>
      <c r="H526" s="454"/>
      <c r="I526" s="527"/>
      <c r="J526" s="455"/>
      <c r="K526" s="455"/>
      <c r="L526" s="455"/>
      <c r="M526" s="455"/>
      <c r="N526" s="455"/>
      <c r="O526" s="455"/>
      <c r="P526" s="455"/>
      <c r="Q526" s="455"/>
      <c r="R526" s="455"/>
      <c r="S526" s="455"/>
      <c r="T526" s="455"/>
    </row>
    <row r="527" spans="1:20" ht="17.25" customHeight="1">
      <c r="A527" s="454"/>
      <c r="B527" s="454"/>
      <c r="C527" s="454"/>
      <c r="D527" s="454"/>
      <c r="E527" s="454"/>
      <c r="F527" s="454"/>
      <c r="G527" s="454"/>
      <c r="H527" s="454"/>
      <c r="I527" s="527"/>
      <c r="J527" s="455"/>
      <c r="K527" s="455"/>
      <c r="L527" s="455"/>
      <c r="M527" s="455"/>
      <c r="N527" s="455"/>
      <c r="O527" s="455"/>
      <c r="P527" s="455"/>
      <c r="Q527" s="455"/>
      <c r="R527" s="455"/>
      <c r="S527" s="455"/>
      <c r="T527" s="455"/>
    </row>
    <row r="528" spans="1:20" ht="17.25" customHeight="1">
      <c r="A528" s="454"/>
      <c r="B528" s="454"/>
      <c r="C528" s="454"/>
      <c r="D528" s="454"/>
      <c r="E528" s="454"/>
      <c r="F528" s="454"/>
      <c r="G528" s="454"/>
      <c r="H528" s="454"/>
      <c r="I528" s="527"/>
      <c r="J528" s="455"/>
      <c r="K528" s="455"/>
      <c r="L528" s="455"/>
      <c r="M528" s="455"/>
      <c r="N528" s="455"/>
      <c r="O528" s="455"/>
      <c r="P528" s="455"/>
      <c r="Q528" s="455"/>
      <c r="R528" s="455"/>
      <c r="S528" s="455"/>
      <c r="T528" s="455"/>
    </row>
    <row r="529" spans="1:20" ht="17.25" customHeight="1">
      <c r="A529" s="454"/>
      <c r="B529" s="454"/>
      <c r="C529" s="454"/>
      <c r="D529" s="454"/>
      <c r="E529" s="454"/>
      <c r="F529" s="454"/>
      <c r="G529" s="454"/>
      <c r="H529" s="454"/>
      <c r="I529" s="527"/>
      <c r="J529" s="455"/>
      <c r="K529" s="455"/>
      <c r="L529" s="455"/>
      <c r="M529" s="455"/>
      <c r="N529" s="455"/>
      <c r="O529" s="455"/>
      <c r="P529" s="455"/>
      <c r="Q529" s="455"/>
      <c r="R529" s="455"/>
      <c r="S529" s="455"/>
      <c r="T529" s="455"/>
    </row>
    <row r="530" spans="1:20" ht="17.25" customHeight="1">
      <c r="A530" s="454"/>
      <c r="B530" s="454"/>
      <c r="C530" s="454"/>
      <c r="D530" s="454"/>
      <c r="E530" s="454"/>
      <c r="F530" s="454"/>
      <c r="G530" s="454"/>
      <c r="H530" s="454"/>
      <c r="I530" s="527"/>
      <c r="J530" s="455"/>
      <c r="K530" s="455"/>
      <c r="L530" s="455"/>
      <c r="M530" s="455"/>
      <c r="N530" s="455"/>
      <c r="O530" s="455"/>
      <c r="P530" s="455"/>
      <c r="Q530" s="455"/>
      <c r="R530" s="455"/>
      <c r="S530" s="455"/>
      <c r="T530" s="455"/>
    </row>
    <row r="531" spans="1:20" ht="17.25" customHeight="1">
      <c r="A531" s="454"/>
      <c r="B531" s="454"/>
      <c r="C531" s="454"/>
      <c r="D531" s="454"/>
      <c r="E531" s="454"/>
      <c r="F531" s="454"/>
      <c r="G531" s="454"/>
      <c r="H531" s="454"/>
      <c r="I531" s="527"/>
      <c r="J531" s="455"/>
      <c r="K531" s="455"/>
      <c r="L531" s="455"/>
      <c r="M531" s="455"/>
      <c r="N531" s="455"/>
      <c r="O531" s="455"/>
      <c r="P531" s="455"/>
      <c r="Q531" s="455"/>
      <c r="R531" s="455"/>
      <c r="S531" s="455"/>
      <c r="T531" s="455"/>
    </row>
    <row r="532" spans="1:20" ht="17.25" customHeight="1">
      <c r="A532" s="454"/>
      <c r="B532" s="454"/>
      <c r="C532" s="454"/>
      <c r="D532" s="454"/>
      <c r="E532" s="454"/>
      <c r="F532" s="454"/>
      <c r="G532" s="454"/>
      <c r="H532" s="454"/>
      <c r="I532" s="527"/>
      <c r="J532" s="455"/>
      <c r="K532" s="455"/>
      <c r="L532" s="455"/>
      <c r="M532" s="455"/>
      <c r="N532" s="455"/>
      <c r="O532" s="455"/>
      <c r="P532" s="455"/>
      <c r="Q532" s="455"/>
      <c r="R532" s="455"/>
      <c r="S532" s="455"/>
      <c r="T532" s="455"/>
    </row>
    <row r="533" spans="1:20" ht="17.25" customHeight="1">
      <c r="A533" s="454"/>
      <c r="B533" s="454"/>
      <c r="C533" s="454"/>
      <c r="D533" s="454"/>
      <c r="E533" s="454"/>
      <c r="F533" s="454"/>
      <c r="G533" s="454"/>
      <c r="H533" s="454"/>
      <c r="I533" s="527"/>
      <c r="J533" s="455"/>
      <c r="K533" s="455"/>
      <c r="L533" s="455"/>
      <c r="M533" s="455"/>
      <c r="N533" s="455"/>
      <c r="O533" s="455"/>
      <c r="P533" s="455"/>
      <c r="Q533" s="455"/>
      <c r="R533" s="455"/>
      <c r="S533" s="455"/>
      <c r="T533" s="455"/>
    </row>
    <row r="534" spans="1:20" ht="17.25" customHeight="1">
      <c r="A534" s="454"/>
      <c r="B534" s="454"/>
      <c r="C534" s="454"/>
      <c r="D534" s="454"/>
      <c r="E534" s="454"/>
      <c r="F534" s="454"/>
      <c r="G534" s="454"/>
      <c r="H534" s="454"/>
      <c r="I534" s="527"/>
      <c r="J534" s="455"/>
      <c r="K534" s="455"/>
      <c r="L534" s="455"/>
      <c r="M534" s="455"/>
      <c r="N534" s="455"/>
      <c r="O534" s="455"/>
      <c r="P534" s="455"/>
      <c r="Q534" s="455"/>
      <c r="R534" s="455"/>
      <c r="S534" s="455"/>
      <c r="T534" s="455"/>
    </row>
    <row r="535" spans="1:20" ht="17.25" customHeight="1">
      <c r="A535" s="454"/>
      <c r="B535" s="454"/>
      <c r="C535" s="454"/>
      <c r="D535" s="454"/>
      <c r="E535" s="454"/>
      <c r="F535" s="454"/>
      <c r="G535" s="454"/>
      <c r="H535" s="454"/>
      <c r="I535" s="527"/>
      <c r="J535" s="455"/>
      <c r="K535" s="455"/>
      <c r="L535" s="455"/>
      <c r="M535" s="455"/>
      <c r="N535" s="455"/>
      <c r="O535" s="455"/>
      <c r="P535" s="455"/>
      <c r="Q535" s="455"/>
      <c r="R535" s="455"/>
      <c r="S535" s="455"/>
      <c r="T535" s="455"/>
    </row>
    <row r="536" spans="1:20" ht="17.25" customHeight="1">
      <c r="A536" s="454"/>
      <c r="B536" s="454"/>
      <c r="C536" s="454"/>
      <c r="D536" s="454"/>
      <c r="E536" s="454"/>
      <c r="F536" s="454"/>
      <c r="G536" s="454"/>
      <c r="H536" s="454"/>
      <c r="I536" s="527"/>
      <c r="J536" s="455"/>
      <c r="K536" s="455"/>
      <c r="L536" s="455"/>
      <c r="M536" s="455"/>
      <c r="N536" s="455"/>
      <c r="O536" s="455"/>
      <c r="P536" s="455"/>
      <c r="Q536" s="455"/>
      <c r="R536" s="455"/>
      <c r="S536" s="455"/>
      <c r="T536" s="455"/>
    </row>
    <row r="537" spans="1:20" ht="17.25" customHeight="1">
      <c r="A537" s="454"/>
      <c r="B537" s="454"/>
      <c r="C537" s="454"/>
      <c r="D537" s="454"/>
      <c r="E537" s="454"/>
      <c r="F537" s="454"/>
      <c r="G537" s="454"/>
      <c r="H537" s="454"/>
      <c r="I537" s="527"/>
      <c r="J537" s="455"/>
      <c r="K537" s="455"/>
      <c r="L537" s="455"/>
      <c r="M537" s="455"/>
      <c r="N537" s="455"/>
      <c r="O537" s="455"/>
      <c r="P537" s="455"/>
      <c r="Q537" s="455"/>
      <c r="R537" s="455"/>
      <c r="S537" s="455"/>
      <c r="T537" s="455"/>
    </row>
    <row r="538" spans="1:20" ht="17.25" customHeight="1">
      <c r="A538" s="454"/>
      <c r="B538" s="454"/>
      <c r="C538" s="454"/>
      <c r="D538" s="454"/>
      <c r="E538" s="454"/>
      <c r="F538" s="454"/>
      <c r="G538" s="454"/>
      <c r="H538" s="454"/>
      <c r="I538" s="527"/>
      <c r="J538" s="455"/>
      <c r="K538" s="455"/>
      <c r="L538" s="455"/>
      <c r="M538" s="455"/>
      <c r="N538" s="455"/>
      <c r="O538" s="455"/>
      <c r="P538" s="455"/>
      <c r="Q538" s="455"/>
      <c r="R538" s="455"/>
      <c r="S538" s="455"/>
      <c r="T538" s="455"/>
    </row>
    <row r="539" spans="1:20" ht="17.25" customHeight="1">
      <c r="A539" s="454"/>
      <c r="B539" s="454"/>
      <c r="C539" s="454"/>
      <c r="D539" s="454"/>
      <c r="E539" s="454"/>
      <c r="F539" s="454"/>
      <c r="G539" s="454"/>
      <c r="H539" s="454"/>
      <c r="I539" s="527"/>
      <c r="J539" s="455"/>
      <c r="K539" s="455"/>
      <c r="L539" s="455"/>
      <c r="M539" s="455"/>
      <c r="N539" s="455"/>
      <c r="O539" s="455"/>
      <c r="P539" s="455"/>
      <c r="Q539" s="455"/>
      <c r="R539" s="455"/>
      <c r="S539" s="455"/>
      <c r="T539" s="455"/>
    </row>
    <row r="540" spans="1:20" ht="17.25" customHeight="1">
      <c r="A540" s="454"/>
      <c r="B540" s="454"/>
      <c r="C540" s="454"/>
      <c r="D540" s="454"/>
      <c r="E540" s="454"/>
      <c r="F540" s="454"/>
      <c r="G540" s="454"/>
      <c r="H540" s="454"/>
      <c r="I540" s="527"/>
      <c r="J540" s="455"/>
      <c r="K540" s="455"/>
      <c r="L540" s="455"/>
      <c r="M540" s="455"/>
      <c r="N540" s="455"/>
      <c r="O540" s="455"/>
      <c r="P540" s="455"/>
      <c r="Q540" s="455"/>
      <c r="R540" s="455"/>
      <c r="S540" s="455"/>
      <c r="T540" s="455"/>
    </row>
    <row r="541" spans="1:20" ht="17.25" customHeight="1">
      <c r="A541" s="454"/>
      <c r="B541" s="454"/>
      <c r="C541" s="454"/>
      <c r="D541" s="454"/>
      <c r="E541" s="454"/>
      <c r="F541" s="454"/>
      <c r="G541" s="454"/>
      <c r="H541" s="454"/>
      <c r="I541" s="527"/>
      <c r="J541" s="455"/>
      <c r="K541" s="455"/>
      <c r="L541" s="455"/>
      <c r="M541" s="455"/>
      <c r="N541" s="455"/>
      <c r="O541" s="455"/>
      <c r="P541" s="455"/>
      <c r="Q541" s="455"/>
      <c r="R541" s="455"/>
      <c r="S541" s="455"/>
      <c r="T541" s="455"/>
    </row>
    <row r="542" spans="1:20" ht="17.25" customHeight="1">
      <c r="A542" s="454"/>
      <c r="B542" s="454"/>
      <c r="C542" s="454"/>
      <c r="D542" s="454"/>
      <c r="E542" s="454"/>
      <c r="F542" s="454"/>
      <c r="G542" s="454"/>
      <c r="H542" s="454"/>
      <c r="I542" s="527"/>
      <c r="J542" s="455"/>
      <c r="K542" s="455"/>
      <c r="L542" s="455"/>
      <c r="M542" s="455"/>
      <c r="N542" s="455"/>
      <c r="O542" s="455"/>
      <c r="P542" s="455"/>
      <c r="Q542" s="455"/>
      <c r="R542" s="455"/>
      <c r="S542" s="455"/>
      <c r="T542" s="455"/>
    </row>
    <row r="543" spans="1:20" ht="17.25" customHeight="1">
      <c r="A543" s="454"/>
      <c r="B543" s="454"/>
      <c r="C543" s="454"/>
      <c r="D543" s="454"/>
      <c r="E543" s="454"/>
      <c r="F543" s="454"/>
      <c r="G543" s="454"/>
      <c r="H543" s="454"/>
      <c r="I543" s="527"/>
      <c r="J543" s="455"/>
      <c r="K543" s="455"/>
      <c r="L543" s="455"/>
      <c r="M543" s="455"/>
      <c r="N543" s="455"/>
      <c r="O543" s="455"/>
      <c r="P543" s="455"/>
      <c r="Q543" s="455"/>
      <c r="R543" s="455"/>
      <c r="S543" s="455"/>
      <c r="T543" s="455"/>
    </row>
    <row r="544" spans="1:20" ht="17.25" customHeight="1">
      <c r="A544" s="454"/>
      <c r="B544" s="454"/>
      <c r="C544" s="454"/>
      <c r="D544" s="454"/>
      <c r="E544" s="454"/>
      <c r="F544" s="454"/>
      <c r="G544" s="454"/>
      <c r="H544" s="454"/>
      <c r="I544" s="527"/>
      <c r="J544" s="455"/>
      <c r="K544" s="455"/>
      <c r="L544" s="455"/>
      <c r="M544" s="455"/>
      <c r="N544" s="455"/>
      <c r="O544" s="455"/>
      <c r="P544" s="455"/>
      <c r="Q544" s="455"/>
      <c r="R544" s="455"/>
      <c r="S544" s="455"/>
      <c r="T544" s="455"/>
    </row>
    <row r="545" spans="1:20" ht="17.25" customHeight="1">
      <c r="A545" s="454"/>
      <c r="B545" s="454"/>
      <c r="C545" s="454"/>
      <c r="D545" s="454"/>
      <c r="E545" s="454"/>
      <c r="F545" s="454"/>
      <c r="G545" s="454"/>
      <c r="H545" s="454"/>
      <c r="I545" s="527"/>
      <c r="J545" s="455"/>
      <c r="K545" s="455"/>
      <c r="L545" s="455"/>
      <c r="M545" s="455"/>
      <c r="N545" s="455"/>
      <c r="O545" s="455"/>
      <c r="P545" s="455"/>
      <c r="Q545" s="455"/>
      <c r="R545" s="455"/>
      <c r="S545" s="455"/>
      <c r="T545" s="455"/>
    </row>
    <row r="546" spans="1:20" ht="17.25" customHeight="1">
      <c r="A546" s="454"/>
      <c r="B546" s="454"/>
      <c r="C546" s="454"/>
      <c r="D546" s="454"/>
      <c r="E546" s="454"/>
      <c r="F546" s="454"/>
      <c r="G546" s="454"/>
      <c r="H546" s="454"/>
      <c r="I546" s="527"/>
      <c r="J546" s="455"/>
      <c r="K546" s="455"/>
      <c r="L546" s="455"/>
      <c r="M546" s="455"/>
      <c r="N546" s="455"/>
      <c r="O546" s="455"/>
      <c r="P546" s="455"/>
      <c r="Q546" s="455"/>
      <c r="R546" s="455"/>
      <c r="S546" s="455"/>
      <c r="T546" s="455"/>
    </row>
    <row r="547" spans="1:20" ht="17.25" customHeight="1">
      <c r="A547" s="454"/>
      <c r="B547" s="454"/>
      <c r="C547" s="454"/>
      <c r="D547" s="454"/>
      <c r="E547" s="454"/>
      <c r="F547" s="454"/>
      <c r="G547" s="454"/>
      <c r="H547" s="454"/>
      <c r="I547" s="527"/>
      <c r="J547" s="455"/>
      <c r="K547" s="455"/>
      <c r="L547" s="455"/>
      <c r="M547" s="455"/>
      <c r="N547" s="455"/>
      <c r="O547" s="455"/>
      <c r="P547" s="455"/>
      <c r="Q547" s="455"/>
      <c r="R547" s="455"/>
      <c r="S547" s="455"/>
      <c r="T547" s="455"/>
    </row>
    <row r="548" spans="1:20" ht="17.25" customHeight="1">
      <c r="A548" s="454"/>
      <c r="B548" s="454"/>
      <c r="C548" s="454"/>
      <c r="D548" s="454"/>
      <c r="E548" s="454"/>
      <c r="F548" s="454"/>
      <c r="G548" s="454"/>
      <c r="H548" s="454"/>
      <c r="I548" s="527"/>
      <c r="J548" s="455"/>
      <c r="K548" s="455"/>
      <c r="L548" s="455"/>
      <c r="M548" s="455"/>
      <c r="N548" s="455"/>
      <c r="O548" s="455"/>
      <c r="P548" s="455"/>
      <c r="Q548" s="455"/>
      <c r="R548" s="455"/>
      <c r="S548" s="455"/>
      <c r="T548" s="455"/>
    </row>
    <row r="549" spans="1:20" ht="17.25" customHeight="1">
      <c r="A549" s="454"/>
      <c r="B549" s="454"/>
      <c r="C549" s="454"/>
      <c r="D549" s="454"/>
      <c r="E549" s="454"/>
      <c r="F549" s="454"/>
      <c r="G549" s="454"/>
      <c r="H549" s="454"/>
      <c r="I549" s="527"/>
      <c r="J549" s="455"/>
      <c r="K549" s="455"/>
      <c r="L549" s="455"/>
      <c r="M549" s="455"/>
      <c r="N549" s="455"/>
      <c r="O549" s="455"/>
      <c r="P549" s="455"/>
      <c r="Q549" s="455"/>
      <c r="R549" s="455"/>
      <c r="S549" s="455"/>
      <c r="T549" s="455"/>
    </row>
    <row r="550" spans="1:20" ht="17.25" customHeight="1">
      <c r="A550" s="454"/>
      <c r="B550" s="454"/>
      <c r="C550" s="454"/>
      <c r="D550" s="454"/>
      <c r="E550" s="454"/>
      <c r="F550" s="454"/>
      <c r="G550" s="454"/>
      <c r="H550" s="454"/>
      <c r="I550" s="527"/>
      <c r="J550" s="455"/>
      <c r="K550" s="455"/>
      <c r="L550" s="455"/>
      <c r="M550" s="455"/>
      <c r="N550" s="455"/>
      <c r="O550" s="455"/>
      <c r="P550" s="455"/>
      <c r="Q550" s="455"/>
      <c r="R550" s="455"/>
      <c r="S550" s="455"/>
      <c r="T550" s="455"/>
    </row>
    <row r="551" spans="1:20" ht="17.25" customHeight="1">
      <c r="A551" s="454"/>
      <c r="B551" s="454"/>
      <c r="C551" s="454"/>
      <c r="D551" s="454"/>
      <c r="E551" s="454"/>
      <c r="F551" s="454"/>
      <c r="G551" s="454"/>
      <c r="H551" s="454"/>
      <c r="I551" s="527"/>
      <c r="J551" s="455"/>
      <c r="K551" s="455"/>
      <c r="L551" s="455"/>
      <c r="M551" s="455"/>
      <c r="N551" s="455"/>
      <c r="O551" s="455"/>
      <c r="P551" s="455"/>
      <c r="Q551" s="455"/>
      <c r="R551" s="455"/>
      <c r="S551" s="455"/>
      <c r="T551" s="455"/>
    </row>
    <row r="552" spans="1:20" ht="17.25" customHeight="1">
      <c r="A552" s="454"/>
      <c r="B552" s="454"/>
      <c r="C552" s="454"/>
      <c r="D552" s="454"/>
      <c r="E552" s="454"/>
      <c r="F552" s="454"/>
      <c r="G552" s="454"/>
      <c r="H552" s="454"/>
      <c r="I552" s="527"/>
      <c r="J552" s="455"/>
      <c r="K552" s="455"/>
      <c r="L552" s="455"/>
      <c r="M552" s="455"/>
      <c r="N552" s="455"/>
      <c r="O552" s="455"/>
      <c r="P552" s="455"/>
      <c r="Q552" s="455"/>
      <c r="R552" s="455"/>
      <c r="S552" s="455"/>
      <c r="T552" s="455"/>
    </row>
    <row r="553" spans="1:20" ht="17.25" customHeight="1">
      <c r="A553" s="454"/>
      <c r="B553" s="454"/>
      <c r="C553" s="454"/>
      <c r="D553" s="454"/>
      <c r="E553" s="454"/>
      <c r="F553" s="454"/>
      <c r="G553" s="454"/>
      <c r="H553" s="454"/>
      <c r="I553" s="527"/>
      <c r="J553" s="455"/>
      <c r="K553" s="455"/>
      <c r="L553" s="455"/>
      <c r="M553" s="455"/>
      <c r="N553" s="455"/>
      <c r="O553" s="455"/>
      <c r="P553" s="455"/>
      <c r="Q553" s="455"/>
      <c r="R553" s="455"/>
      <c r="S553" s="455"/>
      <c r="T553" s="455"/>
    </row>
    <row r="554" spans="1:20" ht="17.25" customHeight="1">
      <c r="A554" s="454"/>
      <c r="B554" s="454"/>
      <c r="C554" s="454"/>
      <c r="D554" s="454"/>
      <c r="E554" s="454"/>
      <c r="F554" s="454"/>
      <c r="G554" s="454"/>
      <c r="H554" s="454"/>
      <c r="I554" s="527"/>
      <c r="J554" s="455"/>
      <c r="K554" s="455"/>
      <c r="L554" s="455"/>
      <c r="M554" s="455"/>
      <c r="N554" s="455"/>
      <c r="O554" s="455"/>
      <c r="P554" s="455"/>
      <c r="Q554" s="455"/>
      <c r="R554" s="455"/>
      <c r="S554" s="455"/>
      <c r="T554" s="455"/>
    </row>
    <row r="555" spans="1:20" ht="17.25" customHeight="1">
      <c r="A555" s="454"/>
      <c r="B555" s="454"/>
      <c r="C555" s="454"/>
      <c r="D555" s="454"/>
      <c r="E555" s="454"/>
      <c r="F555" s="454"/>
      <c r="G555" s="454"/>
      <c r="H555" s="454"/>
      <c r="I555" s="527"/>
      <c r="J555" s="455"/>
      <c r="K555" s="455"/>
      <c r="L555" s="455"/>
      <c r="M555" s="455"/>
      <c r="N555" s="455"/>
      <c r="O555" s="455"/>
      <c r="P555" s="455"/>
      <c r="Q555" s="455"/>
      <c r="R555" s="455"/>
      <c r="S555" s="455"/>
      <c r="T555" s="455"/>
    </row>
    <row r="556" spans="1:20" ht="17.25" customHeight="1">
      <c r="A556" s="454"/>
      <c r="B556" s="454"/>
      <c r="C556" s="454"/>
      <c r="D556" s="454"/>
      <c r="E556" s="454"/>
      <c r="F556" s="454"/>
      <c r="G556" s="454"/>
      <c r="H556" s="454"/>
      <c r="I556" s="527"/>
      <c r="J556" s="455"/>
      <c r="K556" s="455"/>
      <c r="L556" s="455"/>
      <c r="M556" s="455"/>
      <c r="N556" s="455"/>
      <c r="O556" s="455"/>
      <c r="P556" s="455"/>
      <c r="Q556" s="455"/>
      <c r="R556" s="455"/>
      <c r="S556" s="455"/>
      <c r="T556" s="455"/>
    </row>
    <row r="557" spans="1:20" ht="17.25" customHeight="1">
      <c r="A557" s="454"/>
      <c r="B557" s="454"/>
      <c r="C557" s="454"/>
      <c r="D557" s="454"/>
      <c r="E557" s="454"/>
      <c r="F557" s="454"/>
      <c r="G557" s="454"/>
      <c r="H557" s="454"/>
      <c r="I557" s="527"/>
      <c r="J557" s="455"/>
      <c r="K557" s="455"/>
      <c r="L557" s="455"/>
      <c r="M557" s="455"/>
      <c r="N557" s="455"/>
      <c r="O557" s="455"/>
      <c r="P557" s="455"/>
      <c r="Q557" s="455"/>
      <c r="R557" s="455"/>
      <c r="S557" s="455"/>
      <c r="T557" s="455"/>
    </row>
    <row r="558" spans="1:20" ht="17.25" customHeight="1">
      <c r="A558" s="454"/>
      <c r="B558" s="454"/>
      <c r="C558" s="454"/>
      <c r="D558" s="454"/>
      <c r="E558" s="454"/>
      <c r="F558" s="454"/>
      <c r="G558" s="454"/>
      <c r="H558" s="454"/>
      <c r="I558" s="527"/>
      <c r="J558" s="455"/>
      <c r="K558" s="455"/>
      <c r="L558" s="455"/>
      <c r="M558" s="455"/>
      <c r="N558" s="455"/>
      <c r="O558" s="455"/>
      <c r="P558" s="455"/>
      <c r="Q558" s="455"/>
      <c r="R558" s="455"/>
      <c r="S558" s="455"/>
      <c r="T558" s="455"/>
    </row>
    <row r="559" spans="1:20" ht="17.25" customHeight="1">
      <c r="A559" s="454"/>
      <c r="B559" s="454"/>
      <c r="C559" s="454"/>
      <c r="D559" s="454"/>
      <c r="E559" s="454"/>
      <c r="F559" s="454"/>
      <c r="G559" s="454"/>
      <c r="H559" s="454"/>
      <c r="I559" s="527"/>
      <c r="J559" s="455"/>
      <c r="K559" s="455"/>
      <c r="L559" s="455"/>
      <c r="M559" s="455"/>
      <c r="N559" s="455"/>
      <c r="O559" s="455"/>
      <c r="P559" s="455"/>
      <c r="Q559" s="455"/>
      <c r="R559" s="455"/>
      <c r="S559" s="455"/>
      <c r="T559" s="455"/>
    </row>
    <row r="560" spans="1:20" ht="17.25" customHeight="1">
      <c r="A560" s="454"/>
      <c r="B560" s="454"/>
      <c r="C560" s="454"/>
      <c r="D560" s="454"/>
      <c r="E560" s="454"/>
      <c r="F560" s="454"/>
      <c r="G560" s="454"/>
      <c r="H560" s="454"/>
      <c r="I560" s="527"/>
      <c r="J560" s="455"/>
      <c r="K560" s="455"/>
      <c r="L560" s="455"/>
      <c r="M560" s="455"/>
      <c r="N560" s="455"/>
      <c r="O560" s="455"/>
      <c r="P560" s="455"/>
      <c r="Q560" s="455"/>
      <c r="R560" s="455"/>
      <c r="S560" s="455"/>
      <c r="T560" s="455"/>
    </row>
    <row r="561" spans="1:20" ht="17.25" customHeight="1">
      <c r="A561" s="454"/>
      <c r="B561" s="454"/>
      <c r="C561" s="454"/>
      <c r="D561" s="454"/>
      <c r="E561" s="454"/>
      <c r="F561" s="454"/>
      <c r="G561" s="454"/>
      <c r="H561" s="454"/>
      <c r="I561" s="527"/>
      <c r="J561" s="455"/>
      <c r="K561" s="455"/>
      <c r="L561" s="455"/>
      <c r="M561" s="455"/>
      <c r="N561" s="455"/>
      <c r="O561" s="455"/>
      <c r="P561" s="455"/>
      <c r="Q561" s="455"/>
      <c r="R561" s="455"/>
      <c r="S561" s="455"/>
      <c r="T561" s="455"/>
    </row>
    <row r="562" spans="1:20" ht="17.25" customHeight="1">
      <c r="A562" s="454"/>
      <c r="B562" s="454"/>
      <c r="C562" s="454"/>
      <c r="D562" s="454"/>
      <c r="E562" s="454"/>
      <c r="F562" s="454"/>
      <c r="G562" s="454"/>
      <c r="H562" s="454"/>
      <c r="I562" s="527"/>
      <c r="J562" s="455"/>
      <c r="K562" s="455"/>
      <c r="L562" s="455"/>
      <c r="M562" s="455"/>
      <c r="N562" s="455"/>
      <c r="O562" s="455"/>
      <c r="P562" s="455"/>
      <c r="Q562" s="455"/>
      <c r="R562" s="455"/>
      <c r="S562" s="455"/>
      <c r="T562" s="455"/>
    </row>
    <row r="563" spans="1:20" ht="17.25" customHeight="1">
      <c r="A563" s="454"/>
      <c r="B563" s="454"/>
      <c r="C563" s="454"/>
      <c r="D563" s="454"/>
      <c r="E563" s="454"/>
      <c r="F563" s="454"/>
      <c r="G563" s="454"/>
      <c r="H563" s="454"/>
      <c r="I563" s="527"/>
      <c r="J563" s="455"/>
      <c r="K563" s="455"/>
      <c r="L563" s="455"/>
      <c r="M563" s="455"/>
      <c r="N563" s="455"/>
      <c r="O563" s="455"/>
      <c r="P563" s="455"/>
      <c r="Q563" s="455"/>
      <c r="R563" s="455"/>
      <c r="S563" s="455"/>
      <c r="T563" s="455"/>
    </row>
    <row r="564" spans="1:20" ht="17.25" customHeight="1">
      <c r="A564" s="454"/>
      <c r="B564" s="454"/>
      <c r="C564" s="454"/>
      <c r="D564" s="454"/>
      <c r="E564" s="454"/>
      <c r="F564" s="454"/>
      <c r="G564" s="454"/>
      <c r="H564" s="454"/>
      <c r="I564" s="527"/>
      <c r="J564" s="455"/>
      <c r="K564" s="455"/>
      <c r="L564" s="455"/>
      <c r="M564" s="455"/>
      <c r="N564" s="455"/>
      <c r="O564" s="455"/>
      <c r="P564" s="455"/>
      <c r="Q564" s="455"/>
      <c r="R564" s="455"/>
      <c r="S564" s="455"/>
      <c r="T564" s="455"/>
    </row>
    <row r="565" spans="1:20" ht="17.25" customHeight="1">
      <c r="A565" s="454"/>
      <c r="B565" s="454"/>
      <c r="C565" s="454"/>
      <c r="D565" s="454"/>
      <c r="E565" s="454"/>
      <c r="F565" s="454"/>
      <c r="G565" s="454"/>
      <c r="H565" s="454"/>
      <c r="I565" s="527"/>
      <c r="J565" s="455"/>
      <c r="K565" s="455"/>
      <c r="L565" s="455"/>
      <c r="M565" s="455"/>
      <c r="N565" s="455"/>
      <c r="O565" s="455"/>
      <c r="P565" s="455"/>
      <c r="Q565" s="455"/>
      <c r="R565" s="455"/>
      <c r="S565" s="455"/>
      <c r="T565" s="455"/>
    </row>
    <row r="566" spans="1:20" ht="17.25" customHeight="1">
      <c r="A566" s="454"/>
      <c r="B566" s="454"/>
      <c r="C566" s="454"/>
      <c r="D566" s="454"/>
      <c r="E566" s="454"/>
      <c r="F566" s="454"/>
      <c r="G566" s="454"/>
      <c r="H566" s="454"/>
      <c r="I566" s="527"/>
      <c r="J566" s="455"/>
      <c r="K566" s="455"/>
      <c r="L566" s="455"/>
      <c r="M566" s="455"/>
      <c r="N566" s="455"/>
      <c r="O566" s="455"/>
      <c r="P566" s="455"/>
      <c r="Q566" s="455"/>
      <c r="R566" s="455"/>
      <c r="S566" s="455"/>
      <c r="T566" s="455"/>
    </row>
    <row r="567" spans="1:20" ht="17.25" customHeight="1">
      <c r="A567" s="454"/>
      <c r="B567" s="454"/>
      <c r="C567" s="454"/>
      <c r="D567" s="454"/>
      <c r="E567" s="454"/>
      <c r="F567" s="454"/>
      <c r="G567" s="454"/>
      <c r="H567" s="454"/>
      <c r="I567" s="527"/>
      <c r="J567" s="455"/>
      <c r="K567" s="455"/>
      <c r="L567" s="455"/>
      <c r="M567" s="455"/>
      <c r="N567" s="455"/>
      <c r="O567" s="455"/>
      <c r="P567" s="455"/>
      <c r="Q567" s="455"/>
      <c r="R567" s="455"/>
      <c r="S567" s="455"/>
      <c r="T567" s="455"/>
    </row>
    <row r="568" spans="1:20" ht="17.25" customHeight="1">
      <c r="A568" s="454"/>
      <c r="B568" s="454"/>
      <c r="C568" s="454"/>
      <c r="D568" s="454"/>
      <c r="E568" s="454"/>
      <c r="F568" s="454"/>
      <c r="G568" s="454"/>
      <c r="H568" s="454"/>
      <c r="I568" s="527"/>
      <c r="J568" s="455"/>
      <c r="K568" s="455"/>
      <c r="L568" s="455"/>
      <c r="M568" s="455"/>
      <c r="N568" s="455"/>
      <c r="O568" s="455"/>
      <c r="P568" s="455"/>
      <c r="Q568" s="455"/>
      <c r="R568" s="455"/>
      <c r="S568" s="455"/>
      <c r="T568" s="455"/>
    </row>
    <row r="569" spans="1:20" ht="17.25" customHeight="1">
      <c r="A569" s="454"/>
      <c r="B569" s="454"/>
      <c r="C569" s="454"/>
      <c r="D569" s="454"/>
      <c r="E569" s="454"/>
      <c r="F569" s="454"/>
      <c r="G569" s="454"/>
      <c r="H569" s="454"/>
      <c r="I569" s="527"/>
      <c r="J569" s="455"/>
      <c r="K569" s="455"/>
      <c r="L569" s="455"/>
      <c r="M569" s="455"/>
      <c r="N569" s="455"/>
      <c r="O569" s="455"/>
      <c r="P569" s="455"/>
      <c r="Q569" s="455"/>
      <c r="R569" s="455"/>
      <c r="S569" s="455"/>
      <c r="T569" s="455"/>
    </row>
    <row r="570" spans="1:20" ht="17.25" customHeight="1">
      <c r="A570" s="454"/>
      <c r="B570" s="454"/>
      <c r="C570" s="454"/>
      <c r="D570" s="454"/>
      <c r="E570" s="454"/>
      <c r="F570" s="454"/>
      <c r="G570" s="454"/>
      <c r="H570" s="454"/>
      <c r="I570" s="527"/>
      <c r="J570" s="455"/>
      <c r="K570" s="455"/>
      <c r="L570" s="455"/>
      <c r="M570" s="455"/>
      <c r="N570" s="455"/>
      <c r="O570" s="455"/>
      <c r="P570" s="455"/>
      <c r="Q570" s="455"/>
      <c r="R570" s="455"/>
      <c r="S570" s="455"/>
      <c r="T570" s="455"/>
    </row>
    <row r="571" spans="1:20" ht="17.25" customHeight="1">
      <c r="A571" s="454"/>
      <c r="B571" s="454"/>
      <c r="C571" s="454"/>
      <c r="D571" s="454"/>
      <c r="E571" s="454"/>
      <c r="F571" s="454"/>
      <c r="G571" s="454"/>
      <c r="H571" s="454"/>
      <c r="I571" s="527"/>
      <c r="J571" s="455"/>
      <c r="K571" s="455"/>
      <c r="L571" s="455"/>
      <c r="M571" s="455"/>
      <c r="N571" s="455"/>
      <c r="O571" s="455"/>
      <c r="P571" s="455"/>
      <c r="Q571" s="455"/>
      <c r="R571" s="455"/>
      <c r="S571" s="455"/>
      <c r="T571" s="455"/>
    </row>
    <row r="572" spans="1:20" ht="17.25" customHeight="1">
      <c r="A572" s="454"/>
      <c r="B572" s="454"/>
      <c r="C572" s="454"/>
      <c r="D572" s="454"/>
      <c r="E572" s="454"/>
      <c r="F572" s="454"/>
      <c r="G572" s="454"/>
      <c r="H572" s="454"/>
      <c r="I572" s="527"/>
      <c r="J572" s="455"/>
      <c r="K572" s="455"/>
      <c r="L572" s="455"/>
      <c r="M572" s="455"/>
      <c r="N572" s="455"/>
      <c r="O572" s="455"/>
      <c r="P572" s="455"/>
      <c r="Q572" s="455"/>
      <c r="R572" s="455"/>
      <c r="S572" s="455"/>
      <c r="T572" s="455"/>
    </row>
    <row r="573" spans="1:20" ht="17.25" customHeight="1">
      <c r="A573" s="454"/>
      <c r="B573" s="454"/>
      <c r="C573" s="454"/>
      <c r="D573" s="454"/>
      <c r="E573" s="454"/>
      <c r="F573" s="454"/>
      <c r="G573" s="454"/>
      <c r="H573" s="454"/>
      <c r="I573" s="527"/>
      <c r="J573" s="455"/>
      <c r="K573" s="455"/>
      <c r="L573" s="455"/>
      <c r="M573" s="455"/>
      <c r="N573" s="455"/>
      <c r="O573" s="455"/>
      <c r="P573" s="455"/>
      <c r="Q573" s="455"/>
      <c r="R573" s="455"/>
      <c r="S573" s="455"/>
      <c r="T573" s="455"/>
    </row>
    <row r="574" spans="1:20" ht="17.25" customHeight="1">
      <c r="A574" s="454"/>
      <c r="B574" s="454"/>
      <c r="C574" s="454"/>
      <c r="D574" s="454"/>
      <c r="E574" s="454"/>
      <c r="F574" s="454"/>
      <c r="G574" s="454"/>
      <c r="H574" s="454"/>
      <c r="I574" s="527"/>
      <c r="J574" s="455"/>
      <c r="K574" s="455"/>
      <c r="L574" s="455"/>
      <c r="M574" s="455"/>
      <c r="N574" s="455"/>
      <c r="O574" s="455"/>
      <c r="P574" s="455"/>
      <c r="Q574" s="455"/>
      <c r="R574" s="455"/>
      <c r="S574" s="455"/>
      <c r="T574" s="455"/>
    </row>
    <row r="575" spans="1:20" ht="17.25" customHeight="1">
      <c r="A575" s="454"/>
      <c r="B575" s="454"/>
      <c r="C575" s="454"/>
      <c r="D575" s="454"/>
      <c r="E575" s="454"/>
      <c r="F575" s="454"/>
      <c r="G575" s="454"/>
      <c r="H575" s="454"/>
      <c r="I575" s="527"/>
      <c r="J575" s="455"/>
      <c r="K575" s="455"/>
      <c r="L575" s="455"/>
      <c r="M575" s="455"/>
      <c r="N575" s="455"/>
      <c r="O575" s="455"/>
      <c r="P575" s="455"/>
      <c r="Q575" s="455"/>
      <c r="R575" s="455"/>
      <c r="S575" s="455"/>
      <c r="T575" s="455"/>
    </row>
    <row r="576" spans="1:20" ht="17.25" customHeight="1">
      <c r="A576" s="454"/>
      <c r="B576" s="454"/>
      <c r="C576" s="454"/>
      <c r="D576" s="454"/>
      <c r="E576" s="454"/>
      <c r="F576" s="454"/>
      <c r="G576" s="454"/>
      <c r="H576" s="454"/>
      <c r="I576" s="527"/>
      <c r="J576" s="455"/>
      <c r="K576" s="455"/>
      <c r="L576" s="455"/>
      <c r="M576" s="455"/>
      <c r="N576" s="455"/>
      <c r="O576" s="455"/>
      <c r="P576" s="455"/>
      <c r="Q576" s="455"/>
      <c r="R576" s="455"/>
      <c r="S576" s="455"/>
      <c r="T576" s="455"/>
    </row>
    <row r="577" spans="1:20" ht="17.25" customHeight="1">
      <c r="A577" s="454"/>
      <c r="B577" s="454"/>
      <c r="C577" s="454"/>
      <c r="D577" s="454"/>
      <c r="E577" s="454"/>
      <c r="F577" s="454"/>
      <c r="G577" s="454"/>
      <c r="H577" s="454"/>
      <c r="I577" s="527"/>
      <c r="J577" s="455"/>
      <c r="K577" s="455"/>
      <c r="L577" s="455"/>
      <c r="M577" s="455"/>
      <c r="N577" s="455"/>
      <c r="O577" s="455"/>
      <c r="P577" s="455"/>
      <c r="Q577" s="455"/>
      <c r="R577" s="455"/>
      <c r="S577" s="455"/>
      <c r="T577" s="455"/>
    </row>
    <row r="578" spans="1:20" ht="17.25" customHeight="1">
      <c r="A578" s="454"/>
      <c r="B578" s="454"/>
      <c r="C578" s="454"/>
      <c r="D578" s="454"/>
      <c r="E578" s="454"/>
      <c r="F578" s="454"/>
      <c r="G578" s="454"/>
      <c r="H578" s="454"/>
      <c r="I578" s="527"/>
      <c r="J578" s="455"/>
      <c r="K578" s="455"/>
      <c r="L578" s="455"/>
      <c r="M578" s="455"/>
      <c r="N578" s="455"/>
      <c r="O578" s="455"/>
      <c r="P578" s="455"/>
      <c r="Q578" s="455"/>
      <c r="R578" s="455"/>
      <c r="S578" s="455"/>
      <c r="T578" s="455"/>
    </row>
    <row r="579" spans="1:20" ht="17.25" customHeight="1">
      <c r="A579" s="454"/>
      <c r="B579" s="454"/>
      <c r="C579" s="454"/>
      <c r="D579" s="454"/>
      <c r="E579" s="454"/>
      <c r="F579" s="454"/>
      <c r="G579" s="454"/>
      <c r="H579" s="454"/>
      <c r="I579" s="527"/>
      <c r="J579" s="455"/>
      <c r="K579" s="455"/>
      <c r="L579" s="455"/>
      <c r="M579" s="455"/>
      <c r="N579" s="455"/>
      <c r="O579" s="455"/>
      <c r="P579" s="455"/>
      <c r="Q579" s="455"/>
      <c r="R579" s="455"/>
      <c r="S579" s="455"/>
      <c r="T579" s="455"/>
    </row>
    <row r="580" spans="1:20" ht="17.25" customHeight="1">
      <c r="A580" s="454"/>
      <c r="B580" s="454"/>
      <c r="C580" s="454"/>
      <c r="D580" s="454"/>
      <c r="E580" s="454"/>
      <c r="F580" s="454"/>
      <c r="G580" s="454"/>
      <c r="H580" s="454"/>
      <c r="I580" s="527"/>
      <c r="J580" s="455"/>
      <c r="K580" s="455"/>
      <c r="L580" s="455"/>
      <c r="M580" s="455"/>
      <c r="N580" s="455"/>
      <c r="O580" s="455"/>
      <c r="P580" s="455"/>
      <c r="Q580" s="455"/>
      <c r="R580" s="455"/>
      <c r="S580" s="455"/>
      <c r="T580" s="455"/>
    </row>
    <row r="581" spans="1:20" ht="17.25" customHeight="1">
      <c r="A581" s="454"/>
      <c r="B581" s="454"/>
      <c r="C581" s="454"/>
      <c r="D581" s="454"/>
      <c r="E581" s="454"/>
      <c r="F581" s="454"/>
      <c r="G581" s="454"/>
      <c r="H581" s="454"/>
      <c r="I581" s="527"/>
      <c r="J581" s="455"/>
      <c r="K581" s="455"/>
      <c r="L581" s="455"/>
      <c r="M581" s="455"/>
      <c r="N581" s="455"/>
      <c r="O581" s="455"/>
      <c r="P581" s="455"/>
      <c r="Q581" s="455"/>
      <c r="R581" s="455"/>
      <c r="S581" s="455"/>
      <c r="T581" s="455"/>
    </row>
    <row r="582" spans="1:20" ht="17.25" customHeight="1">
      <c r="A582" s="454"/>
      <c r="B582" s="454"/>
      <c r="C582" s="454"/>
      <c r="D582" s="454"/>
      <c r="E582" s="454"/>
      <c r="F582" s="454"/>
      <c r="G582" s="454"/>
      <c r="H582" s="454"/>
      <c r="I582" s="527"/>
      <c r="J582" s="455"/>
      <c r="K582" s="455"/>
      <c r="L582" s="455"/>
      <c r="M582" s="455"/>
      <c r="N582" s="455"/>
      <c r="O582" s="455"/>
      <c r="P582" s="455"/>
      <c r="Q582" s="455"/>
      <c r="R582" s="455"/>
      <c r="S582" s="455"/>
      <c r="T582" s="455"/>
    </row>
    <row r="583" spans="1:20" ht="17.25" customHeight="1">
      <c r="A583" s="454"/>
      <c r="B583" s="454"/>
      <c r="C583" s="454"/>
      <c r="D583" s="454"/>
      <c r="E583" s="454"/>
      <c r="F583" s="454"/>
      <c r="G583" s="454"/>
      <c r="H583" s="454"/>
      <c r="I583" s="527"/>
      <c r="J583" s="455"/>
      <c r="K583" s="455"/>
      <c r="L583" s="455"/>
      <c r="M583" s="455"/>
      <c r="N583" s="455"/>
      <c r="O583" s="455"/>
      <c r="P583" s="455"/>
      <c r="Q583" s="455"/>
      <c r="R583" s="455"/>
      <c r="S583" s="455"/>
      <c r="T583" s="455"/>
    </row>
    <row r="584" spans="1:20" ht="17.25" customHeight="1">
      <c r="A584" s="454"/>
      <c r="B584" s="454"/>
      <c r="C584" s="454"/>
      <c r="D584" s="454"/>
      <c r="E584" s="454"/>
      <c r="F584" s="454"/>
      <c r="G584" s="454"/>
      <c r="H584" s="454"/>
      <c r="I584" s="527"/>
      <c r="J584" s="455"/>
      <c r="K584" s="455"/>
      <c r="L584" s="455"/>
      <c r="M584" s="455"/>
      <c r="N584" s="455"/>
      <c r="O584" s="455"/>
      <c r="P584" s="455"/>
      <c r="Q584" s="455"/>
      <c r="R584" s="455"/>
      <c r="S584" s="455"/>
      <c r="T584" s="455"/>
    </row>
    <row r="585" spans="1:20" ht="17.25" customHeight="1">
      <c r="A585" s="454"/>
      <c r="B585" s="454"/>
      <c r="C585" s="454"/>
      <c r="D585" s="454"/>
      <c r="E585" s="454"/>
      <c r="F585" s="454"/>
      <c r="G585" s="454"/>
      <c r="H585" s="454"/>
      <c r="I585" s="527"/>
      <c r="J585" s="455"/>
      <c r="K585" s="455"/>
      <c r="L585" s="455"/>
      <c r="M585" s="455"/>
      <c r="N585" s="455"/>
      <c r="O585" s="455"/>
      <c r="P585" s="455"/>
      <c r="Q585" s="455"/>
      <c r="R585" s="455"/>
      <c r="S585" s="455"/>
      <c r="T585" s="455"/>
    </row>
    <row r="586" spans="1:20" ht="17.25" customHeight="1">
      <c r="A586" s="454"/>
      <c r="B586" s="454"/>
      <c r="C586" s="454"/>
      <c r="D586" s="454"/>
      <c r="E586" s="454"/>
      <c r="F586" s="454"/>
      <c r="G586" s="454"/>
      <c r="H586" s="454"/>
      <c r="I586" s="527"/>
      <c r="J586" s="455"/>
      <c r="K586" s="455"/>
      <c r="L586" s="455"/>
      <c r="M586" s="455"/>
      <c r="N586" s="455"/>
      <c r="O586" s="455"/>
      <c r="P586" s="455"/>
      <c r="Q586" s="455"/>
      <c r="R586" s="455"/>
      <c r="S586" s="455"/>
      <c r="T586" s="455"/>
    </row>
    <row r="587" spans="1:20" ht="17.25" customHeight="1">
      <c r="A587" s="454"/>
      <c r="B587" s="454"/>
      <c r="C587" s="454"/>
      <c r="D587" s="454"/>
      <c r="E587" s="454"/>
      <c r="F587" s="454"/>
      <c r="G587" s="454"/>
      <c r="H587" s="454"/>
      <c r="I587" s="527"/>
      <c r="J587" s="455"/>
      <c r="K587" s="455"/>
      <c r="L587" s="455"/>
      <c r="M587" s="455"/>
      <c r="N587" s="455"/>
      <c r="O587" s="455"/>
      <c r="P587" s="455"/>
      <c r="Q587" s="455"/>
      <c r="R587" s="455"/>
      <c r="S587" s="455"/>
      <c r="T587" s="455"/>
    </row>
    <row r="588" spans="1:20" ht="17.25" customHeight="1">
      <c r="A588" s="454"/>
      <c r="B588" s="454"/>
      <c r="C588" s="454"/>
      <c r="D588" s="454"/>
      <c r="E588" s="454"/>
      <c r="F588" s="454"/>
      <c r="G588" s="454"/>
      <c r="H588" s="454"/>
      <c r="I588" s="527"/>
      <c r="J588" s="455"/>
      <c r="K588" s="455"/>
      <c r="L588" s="455"/>
      <c r="M588" s="455"/>
      <c r="N588" s="455"/>
      <c r="O588" s="455"/>
      <c r="P588" s="455"/>
      <c r="Q588" s="455"/>
      <c r="R588" s="455"/>
      <c r="S588" s="455"/>
      <c r="T588" s="455"/>
    </row>
    <row r="589" spans="1:20" ht="17.25" customHeight="1">
      <c r="A589" s="454"/>
      <c r="B589" s="454"/>
      <c r="C589" s="454"/>
      <c r="D589" s="454"/>
      <c r="E589" s="454"/>
      <c r="F589" s="454"/>
      <c r="G589" s="454"/>
      <c r="H589" s="454"/>
      <c r="I589" s="527"/>
      <c r="J589" s="455"/>
      <c r="K589" s="455"/>
      <c r="L589" s="455"/>
      <c r="M589" s="455"/>
      <c r="N589" s="455"/>
      <c r="O589" s="455"/>
      <c r="P589" s="455"/>
      <c r="Q589" s="455"/>
      <c r="R589" s="455"/>
      <c r="S589" s="455"/>
      <c r="T589" s="455"/>
    </row>
    <row r="590" spans="1:20" ht="17.25" customHeight="1">
      <c r="A590" s="454"/>
      <c r="B590" s="454"/>
      <c r="C590" s="454"/>
      <c r="D590" s="454"/>
      <c r="E590" s="454"/>
      <c r="F590" s="454"/>
      <c r="G590" s="454"/>
      <c r="H590" s="454"/>
      <c r="I590" s="527"/>
      <c r="J590" s="455"/>
      <c r="K590" s="455"/>
      <c r="L590" s="455"/>
      <c r="M590" s="455"/>
      <c r="N590" s="455"/>
      <c r="O590" s="455"/>
      <c r="P590" s="455"/>
      <c r="Q590" s="455"/>
      <c r="R590" s="455"/>
      <c r="S590" s="455"/>
      <c r="T590" s="455"/>
    </row>
    <row r="591" spans="1:20" ht="17.25" customHeight="1">
      <c r="A591" s="454"/>
      <c r="B591" s="454"/>
      <c r="C591" s="454"/>
      <c r="D591" s="454"/>
      <c r="E591" s="454"/>
      <c r="F591" s="454"/>
      <c r="G591" s="454"/>
      <c r="H591" s="454"/>
      <c r="I591" s="527"/>
      <c r="J591" s="455"/>
      <c r="K591" s="455"/>
      <c r="L591" s="455"/>
      <c r="M591" s="455"/>
      <c r="N591" s="455"/>
      <c r="O591" s="455"/>
      <c r="P591" s="455"/>
      <c r="Q591" s="455"/>
      <c r="R591" s="455"/>
      <c r="S591" s="455"/>
      <c r="T591" s="455"/>
    </row>
    <row r="592" spans="1:20" ht="17.25" customHeight="1">
      <c r="A592" s="454"/>
      <c r="B592" s="454"/>
      <c r="C592" s="454"/>
      <c r="D592" s="454"/>
      <c r="E592" s="454"/>
      <c r="F592" s="454"/>
      <c r="G592" s="454"/>
      <c r="H592" s="454"/>
      <c r="I592" s="527"/>
      <c r="J592" s="455"/>
      <c r="K592" s="455"/>
      <c r="L592" s="455"/>
      <c r="M592" s="455"/>
      <c r="N592" s="455"/>
      <c r="O592" s="455"/>
      <c r="P592" s="455"/>
      <c r="Q592" s="455"/>
      <c r="R592" s="455"/>
      <c r="S592" s="455"/>
      <c r="T592" s="455"/>
    </row>
    <row r="593" spans="1:20" ht="17.25" customHeight="1">
      <c r="A593" s="454"/>
      <c r="B593" s="454"/>
      <c r="C593" s="454"/>
      <c r="D593" s="454"/>
      <c r="E593" s="454"/>
      <c r="F593" s="454"/>
      <c r="G593" s="454"/>
      <c r="H593" s="454"/>
      <c r="I593" s="527"/>
      <c r="J593" s="455"/>
      <c r="K593" s="455"/>
      <c r="L593" s="455"/>
      <c r="M593" s="455"/>
      <c r="N593" s="455"/>
      <c r="O593" s="455"/>
      <c r="P593" s="455"/>
      <c r="Q593" s="455"/>
      <c r="R593" s="455"/>
      <c r="S593" s="455"/>
      <c r="T593" s="455"/>
    </row>
    <row r="594" spans="1:20" ht="17.25" customHeight="1">
      <c r="A594" s="454"/>
      <c r="B594" s="454"/>
      <c r="C594" s="454"/>
      <c r="D594" s="454"/>
      <c r="E594" s="454"/>
      <c r="F594" s="454"/>
      <c r="G594" s="454"/>
      <c r="H594" s="454"/>
      <c r="I594" s="527"/>
      <c r="J594" s="455"/>
      <c r="K594" s="455"/>
      <c r="L594" s="455"/>
      <c r="M594" s="455"/>
      <c r="N594" s="455"/>
      <c r="O594" s="455"/>
      <c r="P594" s="455"/>
      <c r="Q594" s="455"/>
      <c r="R594" s="455"/>
      <c r="S594" s="455"/>
      <c r="T594" s="455"/>
    </row>
    <row r="595" spans="1:20" ht="17.25" customHeight="1">
      <c r="A595" s="454"/>
      <c r="B595" s="454"/>
      <c r="C595" s="454"/>
      <c r="D595" s="454"/>
      <c r="E595" s="454"/>
      <c r="F595" s="454"/>
      <c r="G595" s="454"/>
      <c r="H595" s="454"/>
      <c r="I595" s="527"/>
      <c r="J595" s="455"/>
      <c r="K595" s="455"/>
      <c r="L595" s="455"/>
      <c r="M595" s="455"/>
      <c r="N595" s="455"/>
      <c r="O595" s="455"/>
      <c r="P595" s="455"/>
      <c r="Q595" s="455"/>
      <c r="R595" s="455"/>
      <c r="S595" s="455"/>
      <c r="T595" s="455"/>
    </row>
    <row r="596" spans="1:20" ht="17.25" customHeight="1">
      <c r="A596" s="454"/>
      <c r="B596" s="454"/>
      <c r="C596" s="454"/>
      <c r="D596" s="454"/>
      <c r="E596" s="454"/>
      <c r="F596" s="454"/>
      <c r="G596" s="454"/>
      <c r="H596" s="454"/>
      <c r="I596" s="527"/>
      <c r="J596" s="455"/>
      <c r="K596" s="455"/>
      <c r="L596" s="455"/>
      <c r="M596" s="455"/>
      <c r="N596" s="455"/>
      <c r="O596" s="455"/>
      <c r="P596" s="455"/>
      <c r="Q596" s="455"/>
      <c r="R596" s="455"/>
      <c r="S596" s="455"/>
      <c r="T596" s="455"/>
    </row>
    <row r="597" spans="1:20" ht="17.25" customHeight="1">
      <c r="A597" s="454"/>
      <c r="B597" s="454"/>
      <c r="C597" s="454"/>
      <c r="D597" s="454"/>
      <c r="E597" s="454"/>
      <c r="F597" s="454"/>
      <c r="G597" s="454"/>
      <c r="H597" s="454"/>
      <c r="I597" s="527"/>
      <c r="J597" s="455"/>
      <c r="K597" s="455"/>
      <c r="L597" s="455"/>
      <c r="M597" s="455"/>
      <c r="N597" s="455"/>
      <c r="O597" s="455"/>
      <c r="P597" s="455"/>
      <c r="Q597" s="455"/>
      <c r="R597" s="455"/>
      <c r="S597" s="455"/>
      <c r="T597" s="455"/>
    </row>
    <row r="598" spans="1:20" ht="17.25" customHeight="1">
      <c r="A598" s="454"/>
      <c r="B598" s="454"/>
      <c r="C598" s="454"/>
      <c r="D598" s="454"/>
      <c r="E598" s="454"/>
      <c r="F598" s="454"/>
      <c r="G598" s="454"/>
      <c r="H598" s="454"/>
      <c r="I598" s="527"/>
      <c r="J598" s="455"/>
      <c r="K598" s="455"/>
      <c r="L598" s="455"/>
      <c r="M598" s="455"/>
      <c r="N598" s="455"/>
      <c r="O598" s="455"/>
      <c r="P598" s="455"/>
      <c r="Q598" s="455"/>
      <c r="R598" s="455"/>
      <c r="S598" s="455"/>
      <c r="T598" s="455"/>
    </row>
    <row r="599" spans="1:20" ht="17.25" customHeight="1">
      <c r="A599" s="454"/>
      <c r="B599" s="454"/>
      <c r="C599" s="454"/>
      <c r="D599" s="454"/>
      <c r="E599" s="454"/>
      <c r="F599" s="454"/>
      <c r="G599" s="454"/>
      <c r="H599" s="454"/>
      <c r="I599" s="527"/>
      <c r="J599" s="455"/>
      <c r="K599" s="455"/>
      <c r="L599" s="455"/>
      <c r="M599" s="455"/>
      <c r="N599" s="455"/>
      <c r="O599" s="455"/>
      <c r="P599" s="455"/>
      <c r="Q599" s="455"/>
      <c r="R599" s="455"/>
      <c r="S599" s="455"/>
      <c r="T599" s="455"/>
    </row>
    <row r="600" spans="1:20" ht="17.25" customHeight="1">
      <c r="A600" s="454"/>
      <c r="B600" s="454"/>
      <c r="C600" s="454"/>
      <c r="D600" s="454"/>
      <c r="E600" s="454"/>
      <c r="F600" s="454"/>
      <c r="G600" s="454"/>
      <c r="H600" s="454"/>
      <c r="I600" s="527"/>
      <c r="J600" s="455"/>
      <c r="K600" s="455"/>
      <c r="L600" s="455"/>
      <c r="M600" s="455"/>
      <c r="N600" s="455"/>
      <c r="O600" s="455"/>
      <c r="P600" s="455"/>
      <c r="Q600" s="455"/>
      <c r="R600" s="455"/>
      <c r="S600" s="455"/>
      <c r="T600" s="455"/>
    </row>
    <row r="601" spans="1:20" ht="17.25" customHeight="1">
      <c r="A601" s="454"/>
      <c r="B601" s="454"/>
      <c r="C601" s="454"/>
      <c r="D601" s="454"/>
      <c r="E601" s="454"/>
      <c r="F601" s="454"/>
      <c r="G601" s="454"/>
      <c r="H601" s="454"/>
      <c r="I601" s="527"/>
      <c r="J601" s="455"/>
      <c r="K601" s="455"/>
      <c r="L601" s="455"/>
      <c r="M601" s="455"/>
      <c r="N601" s="455"/>
      <c r="O601" s="455"/>
      <c r="P601" s="455"/>
      <c r="Q601" s="455"/>
      <c r="R601" s="455"/>
      <c r="S601" s="455"/>
      <c r="T601" s="455"/>
    </row>
    <row r="602" spans="1:20" ht="17.25" customHeight="1">
      <c r="A602" s="454"/>
      <c r="B602" s="454"/>
      <c r="C602" s="454"/>
      <c r="D602" s="454"/>
      <c r="E602" s="454"/>
      <c r="F602" s="454"/>
      <c r="G602" s="454"/>
      <c r="H602" s="454"/>
      <c r="I602" s="527"/>
      <c r="J602" s="455"/>
      <c r="K602" s="455"/>
      <c r="L602" s="455"/>
      <c r="M602" s="455"/>
      <c r="N602" s="455"/>
      <c r="O602" s="455"/>
      <c r="P602" s="455"/>
      <c r="Q602" s="455"/>
      <c r="R602" s="455"/>
      <c r="S602" s="455"/>
      <c r="T602" s="455"/>
    </row>
    <row r="603" spans="1:20" ht="17.25" customHeight="1">
      <c r="A603" s="454"/>
      <c r="B603" s="454"/>
      <c r="C603" s="454"/>
      <c r="D603" s="454"/>
      <c r="E603" s="454"/>
      <c r="F603" s="454"/>
      <c r="G603" s="454"/>
      <c r="H603" s="454"/>
      <c r="I603" s="527"/>
      <c r="J603" s="455"/>
      <c r="K603" s="455"/>
      <c r="L603" s="455"/>
      <c r="M603" s="455"/>
      <c r="N603" s="455"/>
      <c r="O603" s="455"/>
      <c r="P603" s="455"/>
      <c r="Q603" s="455"/>
      <c r="R603" s="455"/>
      <c r="S603" s="455"/>
      <c r="T603" s="455"/>
    </row>
    <row r="604" spans="1:20" ht="17.25" customHeight="1">
      <c r="A604" s="454"/>
      <c r="B604" s="454"/>
      <c r="C604" s="454"/>
      <c r="D604" s="454"/>
      <c r="E604" s="454"/>
      <c r="F604" s="454"/>
      <c r="G604" s="454"/>
      <c r="H604" s="454"/>
      <c r="I604" s="527"/>
      <c r="J604" s="455"/>
      <c r="K604" s="455"/>
      <c r="L604" s="455"/>
      <c r="M604" s="455"/>
      <c r="N604" s="455"/>
      <c r="O604" s="455"/>
      <c r="P604" s="455"/>
      <c r="Q604" s="455"/>
      <c r="R604" s="455"/>
      <c r="S604" s="455"/>
      <c r="T604" s="455"/>
    </row>
    <row r="605" spans="1:20" ht="17.25" customHeight="1">
      <c r="A605" s="454"/>
      <c r="B605" s="454"/>
      <c r="C605" s="454"/>
      <c r="D605" s="454"/>
      <c r="E605" s="454"/>
      <c r="F605" s="454"/>
      <c r="G605" s="454"/>
      <c r="H605" s="454"/>
      <c r="I605" s="527"/>
      <c r="J605" s="455"/>
      <c r="K605" s="455"/>
      <c r="L605" s="455"/>
      <c r="M605" s="455"/>
      <c r="N605" s="455"/>
      <c r="O605" s="455"/>
      <c r="P605" s="455"/>
      <c r="Q605" s="455"/>
      <c r="R605" s="455"/>
      <c r="S605" s="455"/>
      <c r="T605" s="455"/>
    </row>
    <row r="606" spans="1:20" ht="17.25" customHeight="1">
      <c r="A606" s="454"/>
      <c r="B606" s="454"/>
      <c r="C606" s="454"/>
      <c r="D606" s="454"/>
      <c r="E606" s="454"/>
      <c r="F606" s="454"/>
      <c r="G606" s="454"/>
      <c r="H606" s="454"/>
      <c r="I606" s="527"/>
      <c r="J606" s="455"/>
      <c r="K606" s="455"/>
      <c r="L606" s="455"/>
      <c r="M606" s="455"/>
      <c r="N606" s="455"/>
      <c r="O606" s="455"/>
      <c r="P606" s="455"/>
      <c r="Q606" s="455"/>
      <c r="R606" s="455"/>
      <c r="S606" s="455"/>
      <c r="T606" s="455"/>
    </row>
    <row r="607" spans="1:20" ht="17.25" customHeight="1">
      <c r="A607" s="454"/>
      <c r="B607" s="454"/>
      <c r="C607" s="454"/>
      <c r="D607" s="454"/>
      <c r="E607" s="454"/>
      <c r="F607" s="454"/>
      <c r="G607" s="454"/>
      <c r="H607" s="454"/>
      <c r="I607" s="527"/>
      <c r="J607" s="455"/>
      <c r="K607" s="455"/>
      <c r="L607" s="455"/>
      <c r="M607" s="455"/>
      <c r="N607" s="455"/>
      <c r="O607" s="455"/>
      <c r="P607" s="455"/>
      <c r="Q607" s="455"/>
      <c r="R607" s="455"/>
      <c r="S607" s="455"/>
      <c r="T607" s="455"/>
    </row>
    <row r="608" spans="1:20" ht="17.25" customHeight="1">
      <c r="A608" s="454"/>
      <c r="B608" s="454"/>
      <c r="C608" s="454"/>
      <c r="D608" s="454"/>
      <c r="E608" s="454"/>
      <c r="F608" s="454"/>
      <c r="G608" s="454"/>
      <c r="H608" s="454"/>
      <c r="I608" s="527"/>
      <c r="J608" s="455"/>
      <c r="K608" s="455"/>
      <c r="L608" s="455"/>
      <c r="M608" s="455"/>
      <c r="N608" s="455"/>
      <c r="O608" s="455"/>
      <c r="P608" s="455"/>
      <c r="Q608" s="455"/>
      <c r="R608" s="455"/>
      <c r="S608" s="455"/>
      <c r="T608" s="455"/>
    </row>
    <row r="609" spans="1:20" ht="17.25" customHeight="1">
      <c r="A609" s="454"/>
      <c r="B609" s="454"/>
      <c r="C609" s="454"/>
      <c r="D609" s="454"/>
      <c r="E609" s="454"/>
      <c r="F609" s="454"/>
      <c r="G609" s="454"/>
      <c r="H609" s="454"/>
      <c r="I609" s="527"/>
      <c r="J609" s="455"/>
      <c r="K609" s="455"/>
      <c r="L609" s="455"/>
      <c r="M609" s="455"/>
      <c r="N609" s="455"/>
      <c r="O609" s="455"/>
      <c r="P609" s="455"/>
      <c r="Q609" s="455"/>
      <c r="R609" s="455"/>
      <c r="S609" s="455"/>
      <c r="T609" s="455"/>
    </row>
    <row r="610" spans="1:20" ht="17.25" customHeight="1">
      <c r="A610" s="454"/>
      <c r="B610" s="454"/>
      <c r="C610" s="454"/>
      <c r="D610" s="454"/>
      <c r="E610" s="454"/>
      <c r="F610" s="454"/>
      <c r="G610" s="454"/>
      <c r="H610" s="454"/>
      <c r="I610" s="527"/>
      <c r="J610" s="455"/>
      <c r="K610" s="455"/>
      <c r="L610" s="455"/>
      <c r="M610" s="455"/>
      <c r="N610" s="455"/>
      <c r="O610" s="455"/>
      <c r="P610" s="455"/>
      <c r="Q610" s="455"/>
      <c r="R610" s="455"/>
      <c r="S610" s="455"/>
      <c r="T610" s="455"/>
    </row>
    <row r="611" spans="1:20" ht="17.25" customHeight="1">
      <c r="A611" s="454"/>
      <c r="B611" s="454"/>
      <c r="C611" s="454"/>
      <c r="D611" s="454"/>
      <c r="E611" s="454"/>
      <c r="F611" s="454"/>
      <c r="G611" s="454"/>
      <c r="H611" s="454"/>
      <c r="I611" s="527"/>
      <c r="J611" s="455"/>
      <c r="K611" s="455"/>
      <c r="L611" s="455"/>
      <c r="M611" s="455"/>
      <c r="N611" s="455"/>
      <c r="O611" s="455"/>
      <c r="P611" s="455"/>
      <c r="Q611" s="455"/>
      <c r="R611" s="455"/>
      <c r="S611" s="455"/>
      <c r="T611" s="455"/>
    </row>
    <row r="612" spans="1:20" ht="17.25" customHeight="1">
      <c r="A612" s="454"/>
      <c r="B612" s="454"/>
      <c r="C612" s="454"/>
      <c r="D612" s="454"/>
      <c r="E612" s="454"/>
      <c r="F612" s="454"/>
      <c r="G612" s="454"/>
      <c r="H612" s="454"/>
      <c r="I612" s="527"/>
      <c r="J612" s="455"/>
      <c r="K612" s="455"/>
      <c r="L612" s="455"/>
      <c r="M612" s="455"/>
      <c r="N612" s="455"/>
      <c r="O612" s="455"/>
      <c r="P612" s="455"/>
      <c r="Q612" s="455"/>
      <c r="R612" s="455"/>
      <c r="S612" s="455"/>
      <c r="T612" s="455"/>
    </row>
    <row r="613" spans="1:20" ht="17.25" customHeight="1">
      <c r="A613" s="454"/>
      <c r="B613" s="454"/>
      <c r="C613" s="454"/>
      <c r="D613" s="454"/>
      <c r="E613" s="454"/>
      <c r="F613" s="454"/>
      <c r="G613" s="454"/>
      <c r="H613" s="454"/>
      <c r="I613" s="527"/>
      <c r="J613" s="455"/>
      <c r="K613" s="455"/>
      <c r="L613" s="455"/>
      <c r="M613" s="455"/>
      <c r="N613" s="455"/>
      <c r="O613" s="455"/>
      <c r="P613" s="455"/>
      <c r="Q613" s="455"/>
      <c r="R613" s="455"/>
      <c r="S613" s="455"/>
      <c r="T613" s="455"/>
    </row>
    <row r="614" spans="1:20" ht="17.25" customHeight="1">
      <c r="A614" s="454"/>
      <c r="B614" s="454"/>
      <c r="C614" s="454"/>
      <c r="D614" s="454"/>
      <c r="E614" s="454"/>
      <c r="F614" s="454"/>
      <c r="G614" s="454"/>
      <c r="H614" s="454"/>
      <c r="I614" s="527"/>
      <c r="J614" s="455"/>
      <c r="K614" s="455"/>
      <c r="L614" s="455"/>
      <c r="M614" s="455"/>
      <c r="N614" s="455"/>
      <c r="O614" s="455"/>
      <c r="P614" s="455"/>
      <c r="Q614" s="455"/>
      <c r="R614" s="455"/>
      <c r="S614" s="455"/>
      <c r="T614" s="455"/>
    </row>
    <row r="615" spans="1:20" ht="17.25" customHeight="1">
      <c r="A615" s="454"/>
      <c r="B615" s="454"/>
      <c r="C615" s="454"/>
      <c r="D615" s="454"/>
      <c r="E615" s="454"/>
      <c r="F615" s="454"/>
      <c r="G615" s="454"/>
      <c r="H615" s="454"/>
      <c r="I615" s="527"/>
      <c r="J615" s="455"/>
      <c r="K615" s="455"/>
      <c r="L615" s="455"/>
      <c r="M615" s="455"/>
      <c r="N615" s="455"/>
      <c r="O615" s="455"/>
      <c r="P615" s="455"/>
      <c r="Q615" s="455"/>
      <c r="R615" s="455"/>
      <c r="S615" s="455"/>
      <c r="T615" s="455"/>
    </row>
    <row r="616" spans="1:20" ht="17.25" customHeight="1">
      <c r="A616" s="454"/>
      <c r="B616" s="454"/>
      <c r="C616" s="454"/>
      <c r="D616" s="454"/>
      <c r="E616" s="454"/>
      <c r="F616" s="454"/>
      <c r="G616" s="454"/>
      <c r="H616" s="454"/>
      <c r="I616" s="527"/>
      <c r="J616" s="455"/>
      <c r="K616" s="455"/>
      <c r="L616" s="455"/>
      <c r="M616" s="455"/>
      <c r="N616" s="455"/>
      <c r="O616" s="455"/>
      <c r="P616" s="455"/>
      <c r="Q616" s="455"/>
      <c r="R616" s="455"/>
      <c r="S616" s="455"/>
      <c r="T616" s="455"/>
    </row>
    <row r="617" spans="1:20" ht="17.25" customHeight="1">
      <c r="A617" s="454"/>
      <c r="B617" s="454"/>
      <c r="C617" s="454"/>
      <c r="D617" s="454"/>
      <c r="E617" s="454"/>
      <c r="F617" s="454"/>
      <c r="G617" s="454"/>
      <c r="H617" s="454"/>
      <c r="I617" s="527"/>
      <c r="J617" s="455"/>
      <c r="K617" s="455"/>
      <c r="L617" s="455"/>
      <c r="M617" s="455"/>
      <c r="N617" s="455"/>
      <c r="O617" s="455"/>
      <c r="P617" s="455"/>
      <c r="Q617" s="455"/>
      <c r="R617" s="455"/>
      <c r="S617" s="455"/>
      <c r="T617" s="455"/>
    </row>
    <row r="618" spans="1:20" ht="17.25" customHeight="1">
      <c r="A618" s="454"/>
      <c r="B618" s="454"/>
      <c r="C618" s="454"/>
      <c r="D618" s="454"/>
      <c r="E618" s="454"/>
      <c r="F618" s="454"/>
      <c r="G618" s="454"/>
      <c r="H618" s="454"/>
      <c r="I618" s="527"/>
      <c r="J618" s="455"/>
      <c r="K618" s="455"/>
      <c r="L618" s="455"/>
      <c r="M618" s="455"/>
      <c r="N618" s="455"/>
      <c r="O618" s="455"/>
      <c r="P618" s="455"/>
      <c r="Q618" s="455"/>
      <c r="R618" s="455"/>
      <c r="S618" s="455"/>
      <c r="T618" s="455"/>
    </row>
    <row r="619" spans="1:20" ht="17.25" customHeight="1">
      <c r="A619" s="454"/>
      <c r="B619" s="454"/>
      <c r="C619" s="454"/>
      <c r="D619" s="454"/>
      <c r="E619" s="454"/>
      <c r="F619" s="454"/>
      <c r="G619" s="454"/>
      <c r="H619" s="454"/>
      <c r="I619" s="527"/>
      <c r="J619" s="455"/>
      <c r="K619" s="455"/>
      <c r="L619" s="455"/>
      <c r="M619" s="455"/>
      <c r="N619" s="455"/>
      <c r="O619" s="455"/>
      <c r="P619" s="455"/>
      <c r="Q619" s="455"/>
      <c r="R619" s="455"/>
      <c r="S619" s="455"/>
      <c r="T619" s="455"/>
    </row>
    <row r="620" spans="1:20" ht="17.25" customHeight="1">
      <c r="A620" s="454"/>
      <c r="B620" s="454"/>
      <c r="C620" s="454"/>
      <c r="D620" s="454"/>
      <c r="E620" s="454"/>
      <c r="F620" s="454"/>
      <c r="G620" s="454"/>
      <c r="H620" s="454"/>
      <c r="I620" s="527"/>
      <c r="J620" s="455"/>
      <c r="K620" s="455"/>
      <c r="L620" s="455"/>
      <c r="M620" s="455"/>
      <c r="N620" s="455"/>
      <c r="O620" s="455"/>
      <c r="P620" s="455"/>
      <c r="Q620" s="455"/>
      <c r="R620" s="455"/>
      <c r="S620" s="455"/>
      <c r="T620" s="455"/>
    </row>
    <row r="621" spans="1:20" ht="17.25" customHeight="1">
      <c r="A621" s="454"/>
      <c r="B621" s="454"/>
      <c r="C621" s="454"/>
      <c r="D621" s="454"/>
      <c r="E621" s="454"/>
      <c r="F621" s="454"/>
      <c r="G621" s="454"/>
      <c r="H621" s="454"/>
      <c r="I621" s="527"/>
      <c r="J621" s="455"/>
      <c r="K621" s="455"/>
      <c r="L621" s="455"/>
      <c r="M621" s="455"/>
      <c r="N621" s="455"/>
      <c r="O621" s="455"/>
      <c r="P621" s="455"/>
      <c r="Q621" s="455"/>
      <c r="R621" s="455"/>
      <c r="S621" s="455"/>
      <c r="T621" s="455"/>
    </row>
    <row r="622" spans="1:20" ht="17.25" customHeight="1">
      <c r="A622" s="454"/>
      <c r="B622" s="454"/>
      <c r="C622" s="454"/>
      <c r="D622" s="454"/>
      <c r="E622" s="454"/>
      <c r="F622" s="454"/>
      <c r="G622" s="454"/>
      <c r="H622" s="454"/>
      <c r="I622" s="527"/>
      <c r="J622" s="455"/>
      <c r="K622" s="455"/>
      <c r="L622" s="455"/>
      <c r="M622" s="455"/>
      <c r="N622" s="455"/>
      <c r="O622" s="455"/>
      <c r="P622" s="455"/>
      <c r="Q622" s="455"/>
      <c r="R622" s="455"/>
      <c r="S622" s="455"/>
      <c r="T622" s="455"/>
    </row>
    <row r="623" spans="1:20" ht="17.25" customHeight="1">
      <c r="A623" s="454"/>
      <c r="B623" s="454"/>
      <c r="C623" s="454"/>
      <c r="D623" s="454"/>
      <c r="E623" s="454"/>
      <c r="F623" s="454"/>
      <c r="G623" s="454"/>
      <c r="H623" s="454"/>
      <c r="I623" s="527"/>
      <c r="J623" s="455"/>
      <c r="K623" s="455"/>
      <c r="L623" s="455"/>
      <c r="M623" s="455"/>
      <c r="N623" s="455"/>
      <c r="O623" s="455"/>
      <c r="P623" s="455"/>
      <c r="Q623" s="455"/>
      <c r="R623" s="455"/>
      <c r="S623" s="455"/>
      <c r="T623" s="455"/>
    </row>
    <row r="624" spans="1:20" ht="17.25" customHeight="1">
      <c r="A624" s="454"/>
      <c r="B624" s="454"/>
      <c r="C624" s="454"/>
      <c r="D624" s="454"/>
      <c r="E624" s="454"/>
      <c r="F624" s="454"/>
      <c r="G624" s="454"/>
      <c r="H624" s="454"/>
      <c r="I624" s="527"/>
      <c r="J624" s="455"/>
      <c r="K624" s="455"/>
      <c r="L624" s="455"/>
      <c r="M624" s="455"/>
      <c r="N624" s="455"/>
      <c r="O624" s="455"/>
      <c r="P624" s="455"/>
      <c r="Q624" s="455"/>
      <c r="R624" s="455"/>
      <c r="S624" s="455"/>
      <c r="T624" s="455"/>
    </row>
    <row r="625" spans="1:20" ht="17.25" customHeight="1">
      <c r="A625" s="454"/>
      <c r="B625" s="454"/>
      <c r="C625" s="454"/>
      <c r="D625" s="454"/>
      <c r="E625" s="454"/>
      <c r="F625" s="454"/>
      <c r="G625" s="454"/>
      <c r="H625" s="454"/>
      <c r="I625" s="527"/>
      <c r="J625" s="455"/>
      <c r="K625" s="455"/>
      <c r="L625" s="455"/>
      <c r="M625" s="455"/>
      <c r="N625" s="455"/>
      <c r="O625" s="455"/>
      <c r="P625" s="455"/>
      <c r="Q625" s="455"/>
      <c r="R625" s="455"/>
      <c r="S625" s="455"/>
      <c r="T625" s="455"/>
    </row>
    <row r="626" spans="1:20" ht="17.25" customHeight="1">
      <c r="A626" s="454"/>
      <c r="B626" s="454"/>
      <c r="C626" s="454"/>
      <c r="D626" s="454"/>
      <c r="E626" s="454"/>
      <c r="F626" s="454"/>
      <c r="G626" s="454"/>
      <c r="H626" s="454"/>
      <c r="I626" s="527"/>
      <c r="J626" s="455"/>
      <c r="K626" s="455"/>
      <c r="L626" s="455"/>
      <c r="M626" s="455"/>
      <c r="N626" s="455"/>
      <c r="O626" s="455"/>
      <c r="P626" s="455"/>
      <c r="Q626" s="455"/>
      <c r="R626" s="455"/>
      <c r="S626" s="455"/>
      <c r="T626" s="455"/>
    </row>
    <row r="627" spans="1:20" ht="17.25" customHeight="1">
      <c r="A627" s="454"/>
      <c r="B627" s="454"/>
      <c r="C627" s="454"/>
      <c r="D627" s="454"/>
      <c r="E627" s="454"/>
      <c r="F627" s="454"/>
      <c r="G627" s="454"/>
      <c r="H627" s="454"/>
      <c r="I627" s="527"/>
      <c r="J627" s="455"/>
      <c r="K627" s="455"/>
      <c r="L627" s="455"/>
      <c r="M627" s="455"/>
      <c r="N627" s="455"/>
      <c r="O627" s="455"/>
      <c r="P627" s="455"/>
      <c r="Q627" s="455"/>
      <c r="R627" s="455"/>
      <c r="S627" s="455"/>
      <c r="T627" s="455"/>
    </row>
    <row r="628" spans="1:20" ht="17.25" customHeight="1">
      <c r="A628" s="454"/>
      <c r="B628" s="454"/>
      <c r="C628" s="454"/>
      <c r="D628" s="454"/>
      <c r="E628" s="454"/>
      <c r="F628" s="454"/>
      <c r="G628" s="454"/>
      <c r="H628" s="454"/>
      <c r="I628" s="527"/>
      <c r="J628" s="455"/>
      <c r="K628" s="455"/>
      <c r="L628" s="455"/>
      <c r="M628" s="455"/>
      <c r="N628" s="455"/>
      <c r="O628" s="455"/>
      <c r="P628" s="455"/>
      <c r="Q628" s="455"/>
      <c r="R628" s="455"/>
      <c r="S628" s="455"/>
      <c r="T628" s="455"/>
    </row>
    <row r="629" spans="1:20" ht="17.25" customHeight="1">
      <c r="A629" s="454"/>
      <c r="B629" s="454"/>
      <c r="C629" s="454"/>
      <c r="D629" s="454"/>
      <c r="E629" s="454"/>
      <c r="F629" s="454"/>
      <c r="G629" s="454"/>
      <c r="H629" s="454"/>
      <c r="I629" s="527"/>
      <c r="J629" s="455"/>
      <c r="K629" s="455"/>
      <c r="L629" s="455"/>
      <c r="M629" s="455"/>
      <c r="N629" s="455"/>
      <c r="O629" s="455"/>
      <c r="P629" s="455"/>
      <c r="Q629" s="455"/>
      <c r="R629" s="455"/>
      <c r="S629" s="455"/>
      <c r="T629" s="455"/>
    </row>
    <row r="630" spans="1:20" ht="17.25" customHeight="1">
      <c r="A630" s="454"/>
      <c r="B630" s="454"/>
      <c r="C630" s="454"/>
      <c r="D630" s="454"/>
      <c r="E630" s="454"/>
      <c r="F630" s="454"/>
      <c r="G630" s="454"/>
      <c r="H630" s="454"/>
      <c r="I630" s="527"/>
      <c r="J630" s="455"/>
      <c r="K630" s="455"/>
      <c r="L630" s="455"/>
      <c r="M630" s="455"/>
      <c r="N630" s="455"/>
      <c r="O630" s="455"/>
      <c r="P630" s="455"/>
      <c r="Q630" s="455"/>
      <c r="R630" s="455"/>
      <c r="S630" s="455"/>
      <c r="T630" s="455"/>
    </row>
    <row r="631" spans="1:20" ht="17.25" customHeight="1">
      <c r="A631" s="454"/>
      <c r="B631" s="454"/>
      <c r="C631" s="454"/>
      <c r="D631" s="454"/>
      <c r="E631" s="454"/>
      <c r="F631" s="454"/>
      <c r="G631" s="454"/>
      <c r="H631" s="454"/>
      <c r="I631" s="527"/>
      <c r="J631" s="455"/>
      <c r="K631" s="455"/>
      <c r="L631" s="455"/>
      <c r="M631" s="455"/>
      <c r="N631" s="455"/>
      <c r="O631" s="455"/>
      <c r="P631" s="455"/>
      <c r="Q631" s="455"/>
      <c r="R631" s="455"/>
      <c r="S631" s="455"/>
      <c r="T631" s="455"/>
    </row>
    <row r="632" spans="1:20" ht="17.25" customHeight="1">
      <c r="A632" s="454"/>
      <c r="B632" s="454"/>
      <c r="C632" s="454"/>
      <c r="D632" s="454"/>
      <c r="E632" s="454"/>
      <c r="F632" s="454"/>
      <c r="G632" s="454"/>
      <c r="H632" s="454"/>
      <c r="I632" s="527"/>
      <c r="J632" s="455"/>
      <c r="K632" s="455"/>
      <c r="L632" s="455"/>
      <c r="M632" s="455"/>
      <c r="N632" s="455"/>
      <c r="O632" s="455"/>
      <c r="P632" s="455"/>
      <c r="Q632" s="455"/>
      <c r="R632" s="455"/>
      <c r="S632" s="455"/>
      <c r="T632" s="455"/>
    </row>
    <row r="633" spans="1:20" ht="17.25" customHeight="1">
      <c r="A633" s="454"/>
      <c r="B633" s="454"/>
      <c r="C633" s="454"/>
      <c r="D633" s="454"/>
      <c r="E633" s="454"/>
      <c r="F633" s="454"/>
      <c r="G633" s="454"/>
      <c r="H633" s="454"/>
      <c r="I633" s="527"/>
      <c r="J633" s="455"/>
      <c r="K633" s="455"/>
      <c r="L633" s="455"/>
      <c r="M633" s="455"/>
      <c r="N633" s="455"/>
      <c r="O633" s="455"/>
      <c r="P633" s="455"/>
      <c r="Q633" s="455"/>
      <c r="R633" s="455"/>
      <c r="S633" s="455"/>
      <c r="T633" s="455"/>
    </row>
    <row r="634" spans="1:20" ht="17.25" customHeight="1">
      <c r="A634" s="454"/>
      <c r="B634" s="454"/>
      <c r="C634" s="454"/>
      <c r="D634" s="454"/>
      <c r="E634" s="454"/>
      <c r="F634" s="454"/>
      <c r="G634" s="454"/>
      <c r="H634" s="454"/>
      <c r="I634" s="527"/>
      <c r="J634" s="455"/>
      <c r="K634" s="455"/>
      <c r="L634" s="455"/>
      <c r="M634" s="455"/>
      <c r="N634" s="455"/>
      <c r="O634" s="455"/>
      <c r="P634" s="455"/>
      <c r="Q634" s="455"/>
      <c r="R634" s="455"/>
      <c r="S634" s="455"/>
      <c r="T634" s="455"/>
    </row>
    <row r="635" spans="1:20" ht="17.25" customHeight="1">
      <c r="A635" s="454"/>
      <c r="B635" s="454"/>
      <c r="C635" s="454"/>
      <c r="D635" s="454"/>
      <c r="E635" s="454"/>
      <c r="F635" s="454"/>
      <c r="G635" s="454"/>
      <c r="H635" s="454"/>
      <c r="I635" s="527"/>
      <c r="J635" s="455"/>
      <c r="K635" s="455"/>
      <c r="L635" s="455"/>
      <c r="M635" s="455"/>
      <c r="N635" s="455"/>
      <c r="O635" s="455"/>
      <c r="P635" s="455"/>
      <c r="Q635" s="455"/>
      <c r="R635" s="455"/>
      <c r="S635" s="455"/>
      <c r="T635" s="455"/>
    </row>
    <row r="636" spans="1:20" ht="17.25" customHeight="1">
      <c r="A636" s="454"/>
      <c r="B636" s="454"/>
      <c r="C636" s="454"/>
      <c r="D636" s="454"/>
      <c r="E636" s="454"/>
      <c r="F636" s="454"/>
      <c r="G636" s="454"/>
      <c r="H636" s="454"/>
      <c r="I636" s="527"/>
      <c r="J636" s="455"/>
      <c r="K636" s="455"/>
      <c r="L636" s="455"/>
      <c r="M636" s="455"/>
      <c r="N636" s="455"/>
      <c r="O636" s="455"/>
      <c r="P636" s="455"/>
      <c r="Q636" s="455"/>
      <c r="R636" s="455"/>
      <c r="S636" s="455"/>
      <c r="T636" s="455"/>
    </row>
    <row r="637" spans="1:20" ht="17.25" customHeight="1">
      <c r="A637" s="454"/>
      <c r="B637" s="454"/>
      <c r="C637" s="454"/>
      <c r="D637" s="454"/>
      <c r="E637" s="454"/>
      <c r="F637" s="454"/>
      <c r="G637" s="454"/>
      <c r="H637" s="454"/>
      <c r="I637" s="527"/>
      <c r="J637" s="455"/>
      <c r="K637" s="455"/>
      <c r="L637" s="455"/>
      <c r="M637" s="455"/>
      <c r="N637" s="455"/>
      <c r="O637" s="455"/>
      <c r="P637" s="455"/>
      <c r="Q637" s="455"/>
      <c r="R637" s="455"/>
      <c r="S637" s="455"/>
      <c r="T637" s="455"/>
    </row>
    <row r="638" spans="1:20" ht="17.25" customHeight="1">
      <c r="A638" s="454"/>
      <c r="B638" s="454"/>
      <c r="C638" s="454"/>
      <c r="D638" s="454"/>
      <c r="E638" s="454"/>
      <c r="F638" s="454"/>
      <c r="G638" s="454"/>
      <c r="H638" s="454"/>
      <c r="I638" s="527"/>
      <c r="J638" s="455"/>
      <c r="K638" s="455"/>
      <c r="L638" s="455"/>
      <c r="M638" s="455"/>
      <c r="N638" s="455"/>
      <c r="O638" s="455"/>
      <c r="P638" s="455"/>
      <c r="Q638" s="455"/>
      <c r="R638" s="455"/>
      <c r="S638" s="455"/>
      <c r="T638" s="455"/>
    </row>
    <row r="639" spans="1:20" ht="17.25" customHeight="1">
      <c r="A639" s="454"/>
      <c r="B639" s="454"/>
      <c r="C639" s="454"/>
      <c r="D639" s="454"/>
      <c r="E639" s="454"/>
      <c r="F639" s="454"/>
      <c r="G639" s="454"/>
      <c r="H639" s="454"/>
      <c r="I639" s="527"/>
      <c r="J639" s="455"/>
      <c r="K639" s="455"/>
      <c r="L639" s="455"/>
      <c r="M639" s="455"/>
      <c r="N639" s="455"/>
      <c r="O639" s="455"/>
      <c r="P639" s="455"/>
      <c r="Q639" s="455"/>
      <c r="R639" s="455"/>
      <c r="S639" s="455"/>
      <c r="T639" s="455"/>
    </row>
    <row r="640" spans="1:20" ht="17.25" customHeight="1">
      <c r="A640" s="454"/>
      <c r="B640" s="454"/>
      <c r="C640" s="454"/>
      <c r="D640" s="454"/>
      <c r="E640" s="454"/>
      <c r="F640" s="454"/>
      <c r="G640" s="454"/>
      <c r="H640" s="454"/>
      <c r="I640" s="527"/>
      <c r="J640" s="455"/>
      <c r="K640" s="455"/>
      <c r="L640" s="455"/>
      <c r="M640" s="455"/>
      <c r="N640" s="455"/>
      <c r="O640" s="455"/>
      <c r="P640" s="455"/>
      <c r="Q640" s="455"/>
      <c r="R640" s="455"/>
      <c r="S640" s="455"/>
      <c r="T640" s="455"/>
    </row>
    <row r="641" spans="1:20" ht="17.25" customHeight="1">
      <c r="A641" s="454"/>
      <c r="B641" s="454"/>
      <c r="C641" s="454"/>
      <c r="D641" s="454"/>
      <c r="E641" s="454"/>
      <c r="F641" s="454"/>
      <c r="G641" s="454"/>
      <c r="H641" s="454"/>
      <c r="I641" s="527"/>
      <c r="J641" s="455"/>
      <c r="K641" s="455"/>
      <c r="L641" s="455"/>
      <c r="M641" s="455"/>
      <c r="N641" s="455"/>
      <c r="O641" s="455"/>
      <c r="P641" s="455"/>
      <c r="Q641" s="455"/>
      <c r="R641" s="455"/>
      <c r="S641" s="455"/>
      <c r="T641" s="455"/>
    </row>
    <row r="642" spans="1:20" ht="17.25" customHeight="1">
      <c r="A642" s="454"/>
      <c r="B642" s="454"/>
      <c r="C642" s="454"/>
      <c r="D642" s="454"/>
      <c r="E642" s="454"/>
      <c r="F642" s="454"/>
      <c r="G642" s="454"/>
      <c r="H642" s="454"/>
      <c r="I642" s="527"/>
      <c r="J642" s="455"/>
      <c r="K642" s="455"/>
      <c r="L642" s="455"/>
      <c r="M642" s="455"/>
      <c r="N642" s="455"/>
      <c r="O642" s="455"/>
      <c r="P642" s="455"/>
      <c r="Q642" s="455"/>
      <c r="R642" s="455"/>
      <c r="S642" s="455"/>
      <c r="T642" s="455"/>
    </row>
    <row r="643" spans="1:20" ht="17.25" customHeight="1">
      <c r="A643" s="454"/>
      <c r="B643" s="454"/>
      <c r="C643" s="454"/>
      <c r="D643" s="454"/>
      <c r="E643" s="454"/>
      <c r="F643" s="454"/>
      <c r="G643" s="454"/>
      <c r="H643" s="454"/>
      <c r="I643" s="527"/>
      <c r="J643" s="455"/>
      <c r="K643" s="455"/>
      <c r="L643" s="455"/>
      <c r="M643" s="455"/>
      <c r="N643" s="455"/>
      <c r="O643" s="455"/>
      <c r="P643" s="455"/>
      <c r="Q643" s="455"/>
      <c r="R643" s="455"/>
      <c r="S643" s="455"/>
      <c r="T643" s="455"/>
    </row>
    <row r="644" spans="1:20" ht="17.25" customHeight="1">
      <c r="A644" s="454"/>
      <c r="B644" s="454"/>
      <c r="C644" s="454"/>
      <c r="D644" s="454"/>
      <c r="E644" s="454"/>
      <c r="F644" s="454"/>
      <c r="G644" s="454"/>
      <c r="H644" s="454"/>
      <c r="I644" s="527"/>
      <c r="J644" s="455"/>
      <c r="K644" s="455"/>
      <c r="L644" s="455"/>
      <c r="M644" s="455"/>
      <c r="N644" s="455"/>
      <c r="O644" s="455"/>
      <c r="P644" s="455"/>
      <c r="Q644" s="455"/>
      <c r="R644" s="455"/>
      <c r="S644" s="455"/>
      <c r="T644" s="455"/>
    </row>
    <row r="645" spans="1:20" ht="17.25" customHeight="1">
      <c r="A645" s="454"/>
      <c r="B645" s="454"/>
      <c r="C645" s="454"/>
      <c r="D645" s="454"/>
      <c r="E645" s="454"/>
      <c r="F645" s="454"/>
      <c r="G645" s="454"/>
      <c r="H645" s="454"/>
      <c r="I645" s="527"/>
      <c r="J645" s="455"/>
      <c r="K645" s="455"/>
      <c r="L645" s="455"/>
      <c r="M645" s="455"/>
      <c r="N645" s="455"/>
      <c r="O645" s="455"/>
      <c r="P645" s="455"/>
      <c r="Q645" s="455"/>
      <c r="R645" s="455"/>
      <c r="S645" s="455"/>
      <c r="T645" s="455"/>
    </row>
    <row r="646" spans="1:20" ht="17.25" customHeight="1">
      <c r="A646" s="454"/>
      <c r="B646" s="454"/>
      <c r="C646" s="454"/>
      <c r="D646" s="454"/>
      <c r="E646" s="454"/>
      <c r="F646" s="454"/>
      <c r="G646" s="454"/>
      <c r="H646" s="454"/>
      <c r="I646" s="527"/>
      <c r="J646" s="455"/>
      <c r="K646" s="455"/>
      <c r="L646" s="455"/>
      <c r="M646" s="455"/>
      <c r="N646" s="455"/>
      <c r="O646" s="455"/>
      <c r="P646" s="455"/>
      <c r="Q646" s="455"/>
      <c r="R646" s="455"/>
      <c r="S646" s="455"/>
      <c r="T646" s="455"/>
    </row>
    <row r="647" spans="1:20" ht="17.25" customHeight="1">
      <c r="A647" s="454"/>
      <c r="B647" s="454"/>
      <c r="C647" s="454"/>
      <c r="D647" s="454"/>
      <c r="E647" s="454"/>
      <c r="F647" s="454"/>
      <c r="G647" s="454"/>
      <c r="H647" s="454"/>
      <c r="I647" s="527"/>
      <c r="J647" s="455"/>
      <c r="K647" s="455"/>
      <c r="L647" s="455"/>
      <c r="M647" s="455"/>
      <c r="N647" s="455"/>
      <c r="O647" s="455"/>
      <c r="P647" s="455"/>
      <c r="Q647" s="455"/>
      <c r="R647" s="455"/>
      <c r="S647" s="455"/>
      <c r="T647" s="455"/>
    </row>
    <row r="648" spans="1:20" ht="17.25" customHeight="1">
      <c r="A648" s="454"/>
      <c r="B648" s="454"/>
      <c r="C648" s="454"/>
      <c r="D648" s="454"/>
      <c r="E648" s="454"/>
      <c r="F648" s="454"/>
      <c r="G648" s="454"/>
      <c r="H648" s="454"/>
      <c r="I648" s="527"/>
      <c r="J648" s="455"/>
      <c r="K648" s="455"/>
      <c r="L648" s="455"/>
      <c r="M648" s="455"/>
      <c r="N648" s="455"/>
      <c r="O648" s="455"/>
      <c r="P648" s="455"/>
      <c r="Q648" s="455"/>
      <c r="R648" s="455"/>
      <c r="S648" s="455"/>
      <c r="T648" s="455"/>
    </row>
    <row r="649" spans="1:20" ht="17.25" customHeight="1">
      <c r="A649" s="454"/>
      <c r="B649" s="454"/>
      <c r="C649" s="454"/>
      <c r="D649" s="454"/>
      <c r="E649" s="454"/>
      <c r="F649" s="454"/>
      <c r="G649" s="454"/>
      <c r="H649" s="454"/>
      <c r="I649" s="527"/>
      <c r="J649" s="455"/>
      <c r="K649" s="455"/>
      <c r="L649" s="455"/>
      <c r="M649" s="455"/>
      <c r="N649" s="455"/>
      <c r="O649" s="455"/>
      <c r="P649" s="455"/>
      <c r="Q649" s="455"/>
      <c r="R649" s="455"/>
      <c r="S649" s="455"/>
      <c r="T649" s="455"/>
    </row>
    <row r="650" spans="1:20" ht="17.25" customHeight="1">
      <c r="A650" s="454"/>
      <c r="B650" s="454"/>
      <c r="C650" s="454"/>
      <c r="D650" s="454"/>
      <c r="E650" s="454"/>
      <c r="F650" s="454"/>
      <c r="G650" s="454"/>
      <c r="H650" s="454"/>
      <c r="I650" s="527"/>
      <c r="J650" s="455"/>
      <c r="K650" s="455"/>
      <c r="L650" s="455"/>
      <c r="M650" s="455"/>
      <c r="N650" s="455"/>
      <c r="O650" s="455"/>
      <c r="P650" s="455"/>
      <c r="Q650" s="455"/>
      <c r="R650" s="455"/>
      <c r="S650" s="455"/>
      <c r="T650" s="455"/>
    </row>
    <row r="651" spans="1:20" ht="17.25" customHeight="1">
      <c r="A651" s="454"/>
      <c r="B651" s="454"/>
      <c r="C651" s="454"/>
      <c r="D651" s="454"/>
      <c r="E651" s="454"/>
      <c r="F651" s="454"/>
      <c r="G651" s="454"/>
      <c r="H651" s="454"/>
      <c r="I651" s="527"/>
      <c r="J651" s="455"/>
      <c r="K651" s="455"/>
      <c r="L651" s="455"/>
      <c r="M651" s="455"/>
      <c r="N651" s="455"/>
      <c r="O651" s="455"/>
      <c r="P651" s="455"/>
      <c r="Q651" s="455"/>
      <c r="R651" s="455"/>
      <c r="S651" s="455"/>
      <c r="T651" s="455"/>
    </row>
    <row r="652" spans="1:20" ht="17.25" customHeight="1">
      <c r="A652" s="454"/>
      <c r="B652" s="454"/>
      <c r="C652" s="454"/>
      <c r="D652" s="454"/>
      <c r="E652" s="454"/>
      <c r="F652" s="454"/>
      <c r="G652" s="454"/>
      <c r="H652" s="454"/>
      <c r="I652" s="527"/>
      <c r="J652" s="455"/>
      <c r="K652" s="455"/>
      <c r="L652" s="455"/>
      <c r="M652" s="455"/>
      <c r="N652" s="455"/>
      <c r="O652" s="455"/>
      <c r="P652" s="455"/>
      <c r="Q652" s="455"/>
      <c r="R652" s="455"/>
      <c r="S652" s="455"/>
      <c r="T652" s="455"/>
    </row>
    <row r="653" spans="1:20" ht="17.25" customHeight="1">
      <c r="A653" s="454"/>
      <c r="B653" s="454"/>
      <c r="C653" s="454"/>
      <c r="D653" s="454"/>
      <c r="E653" s="454"/>
      <c r="F653" s="454"/>
      <c r="G653" s="454"/>
      <c r="H653" s="454"/>
      <c r="I653" s="527"/>
      <c r="J653" s="455"/>
      <c r="K653" s="455"/>
      <c r="L653" s="455"/>
      <c r="M653" s="455"/>
      <c r="N653" s="455"/>
      <c r="O653" s="455"/>
      <c r="P653" s="455"/>
      <c r="Q653" s="455"/>
      <c r="R653" s="455"/>
      <c r="S653" s="455"/>
      <c r="T653" s="455"/>
    </row>
    <row r="654" spans="1:20" ht="17.25" customHeight="1">
      <c r="A654" s="454"/>
      <c r="B654" s="454"/>
      <c r="C654" s="454"/>
      <c r="D654" s="454"/>
      <c r="E654" s="454"/>
      <c r="F654" s="454"/>
      <c r="G654" s="454"/>
      <c r="H654" s="454"/>
      <c r="I654" s="527"/>
      <c r="J654" s="455"/>
      <c r="K654" s="455"/>
      <c r="L654" s="455"/>
      <c r="M654" s="455"/>
      <c r="N654" s="455"/>
      <c r="O654" s="455"/>
      <c r="P654" s="455"/>
      <c r="Q654" s="455"/>
      <c r="R654" s="455"/>
      <c r="S654" s="455"/>
      <c r="T654" s="455"/>
    </row>
    <row r="655" spans="1:20" ht="17.25" customHeight="1">
      <c r="A655" s="454"/>
      <c r="B655" s="454"/>
      <c r="C655" s="454"/>
      <c r="D655" s="454"/>
      <c r="E655" s="454"/>
      <c r="F655" s="454"/>
      <c r="G655" s="454"/>
      <c r="H655" s="454"/>
      <c r="I655" s="527"/>
      <c r="J655" s="455"/>
      <c r="K655" s="455"/>
      <c r="L655" s="455"/>
      <c r="M655" s="455"/>
      <c r="N655" s="455"/>
      <c r="O655" s="455"/>
      <c r="P655" s="455"/>
      <c r="Q655" s="455"/>
      <c r="R655" s="455"/>
      <c r="S655" s="455"/>
      <c r="T655" s="455"/>
    </row>
    <row r="656" spans="1:20" ht="17.25" customHeight="1">
      <c r="A656" s="454"/>
      <c r="B656" s="454"/>
      <c r="C656" s="454"/>
      <c r="D656" s="454"/>
      <c r="E656" s="454"/>
      <c r="F656" s="454"/>
      <c r="G656" s="454"/>
      <c r="H656" s="454"/>
      <c r="I656" s="527"/>
      <c r="J656" s="455"/>
      <c r="K656" s="455"/>
      <c r="L656" s="455"/>
      <c r="M656" s="455"/>
      <c r="N656" s="455"/>
      <c r="O656" s="455"/>
      <c r="P656" s="455"/>
      <c r="Q656" s="455"/>
      <c r="R656" s="455"/>
      <c r="S656" s="455"/>
      <c r="T656" s="455"/>
    </row>
    <row r="657" spans="1:20" ht="17.25" customHeight="1">
      <c r="A657" s="454"/>
      <c r="B657" s="454"/>
      <c r="C657" s="454"/>
      <c r="D657" s="454"/>
      <c r="E657" s="454"/>
      <c r="F657" s="454"/>
      <c r="G657" s="454"/>
      <c r="H657" s="454"/>
      <c r="I657" s="527"/>
      <c r="J657" s="455"/>
      <c r="K657" s="455"/>
      <c r="L657" s="455"/>
      <c r="M657" s="455"/>
      <c r="N657" s="455"/>
      <c r="O657" s="455"/>
      <c r="P657" s="455"/>
      <c r="Q657" s="455"/>
      <c r="R657" s="455"/>
      <c r="S657" s="455"/>
      <c r="T657" s="455"/>
    </row>
    <row r="658" spans="1:20" ht="17.25" customHeight="1">
      <c r="A658" s="454"/>
      <c r="B658" s="454"/>
      <c r="C658" s="454"/>
      <c r="D658" s="454"/>
      <c r="E658" s="454"/>
      <c r="F658" s="454"/>
      <c r="G658" s="454"/>
      <c r="H658" s="454"/>
      <c r="I658" s="527"/>
      <c r="J658" s="455"/>
      <c r="K658" s="455"/>
      <c r="L658" s="455"/>
      <c r="M658" s="455"/>
      <c r="N658" s="455"/>
      <c r="O658" s="455"/>
      <c r="P658" s="455"/>
      <c r="Q658" s="455"/>
      <c r="R658" s="455"/>
      <c r="S658" s="455"/>
      <c r="T658" s="455"/>
    </row>
    <row r="659" spans="1:20" ht="17.25" customHeight="1">
      <c r="A659" s="454"/>
      <c r="B659" s="454"/>
      <c r="C659" s="454"/>
      <c r="D659" s="454"/>
      <c r="E659" s="454"/>
      <c r="F659" s="454"/>
      <c r="G659" s="454"/>
      <c r="H659" s="454"/>
      <c r="I659" s="527"/>
      <c r="J659" s="455"/>
      <c r="K659" s="455"/>
      <c r="L659" s="455"/>
      <c r="M659" s="455"/>
      <c r="N659" s="455"/>
      <c r="O659" s="455"/>
      <c r="P659" s="455"/>
      <c r="Q659" s="455"/>
      <c r="R659" s="455"/>
      <c r="S659" s="455"/>
      <c r="T659" s="455"/>
    </row>
    <row r="660" spans="1:20" ht="17.25" customHeight="1">
      <c r="A660" s="454"/>
      <c r="B660" s="454"/>
      <c r="C660" s="454"/>
      <c r="D660" s="454"/>
      <c r="E660" s="454"/>
      <c r="F660" s="454"/>
      <c r="G660" s="454"/>
      <c r="H660" s="454"/>
      <c r="I660" s="527"/>
      <c r="J660" s="455"/>
      <c r="K660" s="455"/>
      <c r="L660" s="455"/>
      <c r="M660" s="455"/>
      <c r="N660" s="455"/>
      <c r="O660" s="455"/>
      <c r="P660" s="455"/>
      <c r="Q660" s="455"/>
      <c r="R660" s="455"/>
      <c r="S660" s="455"/>
      <c r="T660" s="455"/>
    </row>
    <row r="661" spans="1:20" ht="17.25" customHeight="1">
      <c r="A661" s="454"/>
      <c r="B661" s="454"/>
      <c r="C661" s="454"/>
      <c r="D661" s="454"/>
      <c r="E661" s="454"/>
      <c r="F661" s="454"/>
      <c r="G661" s="454"/>
      <c r="H661" s="454"/>
      <c r="I661" s="527"/>
      <c r="J661" s="455"/>
      <c r="K661" s="455"/>
      <c r="L661" s="455"/>
      <c r="M661" s="455"/>
      <c r="N661" s="455"/>
      <c r="O661" s="455"/>
      <c r="P661" s="455"/>
      <c r="Q661" s="455"/>
      <c r="R661" s="455"/>
      <c r="S661" s="455"/>
      <c r="T661" s="455"/>
    </row>
    <row r="662" spans="1:20" ht="17.25" customHeight="1">
      <c r="A662" s="454"/>
      <c r="B662" s="454"/>
      <c r="C662" s="454"/>
      <c r="D662" s="454"/>
      <c r="E662" s="454"/>
      <c r="F662" s="454"/>
      <c r="G662" s="454"/>
      <c r="H662" s="454"/>
      <c r="I662" s="527"/>
      <c r="J662" s="455"/>
      <c r="K662" s="455"/>
      <c r="L662" s="455"/>
      <c r="M662" s="455"/>
      <c r="N662" s="455"/>
      <c r="O662" s="455"/>
      <c r="P662" s="455"/>
      <c r="Q662" s="455"/>
      <c r="R662" s="455"/>
      <c r="S662" s="455"/>
      <c r="T662" s="455"/>
    </row>
    <row r="663" spans="1:20" ht="17.25" customHeight="1">
      <c r="A663" s="454"/>
      <c r="B663" s="454"/>
      <c r="C663" s="454"/>
      <c r="D663" s="454"/>
      <c r="E663" s="454"/>
      <c r="F663" s="454"/>
      <c r="G663" s="454"/>
      <c r="H663" s="454"/>
      <c r="I663" s="527"/>
      <c r="J663" s="455"/>
      <c r="K663" s="455"/>
      <c r="L663" s="455"/>
      <c r="M663" s="455"/>
      <c r="N663" s="455"/>
      <c r="O663" s="455"/>
      <c r="P663" s="455"/>
      <c r="Q663" s="455"/>
      <c r="R663" s="455"/>
      <c r="S663" s="455"/>
      <c r="T663" s="455"/>
    </row>
    <row r="664" spans="1:20" ht="17.25" customHeight="1">
      <c r="A664" s="454"/>
      <c r="B664" s="454"/>
      <c r="C664" s="454"/>
      <c r="D664" s="454"/>
      <c r="E664" s="454"/>
      <c r="F664" s="454"/>
      <c r="G664" s="454"/>
      <c r="H664" s="454"/>
      <c r="I664" s="527"/>
      <c r="J664" s="455"/>
      <c r="K664" s="455"/>
      <c r="L664" s="455"/>
      <c r="M664" s="455"/>
      <c r="N664" s="455"/>
      <c r="O664" s="455"/>
      <c r="P664" s="455"/>
      <c r="Q664" s="455"/>
      <c r="R664" s="455"/>
      <c r="S664" s="455"/>
      <c r="T664" s="455"/>
    </row>
    <row r="665" spans="1:20" ht="17.25" customHeight="1">
      <c r="A665" s="454"/>
      <c r="B665" s="454"/>
      <c r="C665" s="454"/>
      <c r="D665" s="454"/>
      <c r="E665" s="454"/>
      <c r="F665" s="454"/>
      <c r="G665" s="454"/>
      <c r="H665" s="454"/>
      <c r="I665" s="527"/>
      <c r="J665" s="455"/>
      <c r="K665" s="455"/>
      <c r="L665" s="455"/>
      <c r="M665" s="455"/>
      <c r="N665" s="455"/>
      <c r="O665" s="455"/>
      <c r="P665" s="455"/>
      <c r="Q665" s="455"/>
      <c r="R665" s="455"/>
      <c r="S665" s="455"/>
      <c r="T665" s="455"/>
    </row>
    <row r="666" spans="1:20" ht="17.25" customHeight="1">
      <c r="A666" s="454"/>
      <c r="B666" s="454"/>
      <c r="C666" s="454"/>
      <c r="D666" s="454"/>
      <c r="E666" s="454"/>
      <c r="F666" s="454"/>
      <c r="G666" s="454"/>
      <c r="H666" s="454"/>
      <c r="I666" s="527"/>
      <c r="J666" s="455"/>
      <c r="K666" s="455"/>
      <c r="L666" s="455"/>
      <c r="M666" s="455"/>
      <c r="N666" s="455"/>
      <c r="O666" s="455"/>
      <c r="P666" s="455"/>
      <c r="Q666" s="455"/>
      <c r="R666" s="455"/>
      <c r="S666" s="455"/>
      <c r="T666" s="455"/>
    </row>
    <row r="667" spans="1:20" ht="17.25" customHeight="1">
      <c r="A667" s="454"/>
      <c r="B667" s="454"/>
      <c r="C667" s="454"/>
      <c r="D667" s="454"/>
      <c r="E667" s="454"/>
      <c r="F667" s="454"/>
      <c r="G667" s="454"/>
      <c r="H667" s="454"/>
      <c r="I667" s="527"/>
      <c r="J667" s="455"/>
      <c r="K667" s="455"/>
      <c r="L667" s="455"/>
      <c r="M667" s="455"/>
      <c r="N667" s="455"/>
      <c r="O667" s="455"/>
      <c r="P667" s="455"/>
      <c r="Q667" s="455"/>
      <c r="R667" s="455"/>
      <c r="S667" s="455"/>
      <c r="T667" s="455"/>
    </row>
    <row r="668" spans="1:20" ht="17.25" customHeight="1">
      <c r="A668" s="454"/>
      <c r="B668" s="454"/>
      <c r="C668" s="454"/>
      <c r="D668" s="454"/>
      <c r="E668" s="454"/>
      <c r="F668" s="454"/>
      <c r="G668" s="454"/>
      <c r="H668" s="454"/>
      <c r="I668" s="527"/>
      <c r="J668" s="455"/>
      <c r="K668" s="455"/>
      <c r="L668" s="455"/>
      <c r="M668" s="455"/>
      <c r="N668" s="455"/>
      <c r="O668" s="455"/>
      <c r="P668" s="455"/>
      <c r="Q668" s="455"/>
      <c r="R668" s="455"/>
      <c r="S668" s="455"/>
      <c r="T668" s="455"/>
    </row>
    <row r="669" spans="1:20" ht="17.25" customHeight="1">
      <c r="A669" s="454"/>
      <c r="B669" s="454"/>
      <c r="C669" s="454"/>
      <c r="D669" s="454"/>
      <c r="E669" s="454"/>
      <c r="F669" s="454"/>
      <c r="G669" s="454"/>
      <c r="H669" s="454"/>
      <c r="I669" s="527"/>
      <c r="J669" s="455"/>
      <c r="K669" s="455"/>
      <c r="L669" s="455"/>
      <c r="M669" s="455"/>
      <c r="N669" s="455"/>
      <c r="O669" s="455"/>
      <c r="P669" s="455"/>
      <c r="Q669" s="455"/>
      <c r="R669" s="455"/>
      <c r="S669" s="455"/>
      <c r="T669" s="455"/>
    </row>
    <row r="670" spans="1:20" ht="17.25" customHeight="1">
      <c r="A670" s="454"/>
      <c r="B670" s="454"/>
      <c r="C670" s="454"/>
      <c r="D670" s="454"/>
      <c r="E670" s="454"/>
      <c r="F670" s="454"/>
      <c r="G670" s="454"/>
      <c r="H670" s="454"/>
      <c r="I670" s="527"/>
      <c r="J670" s="455"/>
      <c r="K670" s="455"/>
      <c r="L670" s="455"/>
      <c r="M670" s="455"/>
      <c r="N670" s="455"/>
      <c r="O670" s="455"/>
      <c r="P670" s="455"/>
      <c r="Q670" s="455"/>
      <c r="R670" s="455"/>
      <c r="S670" s="455"/>
      <c r="T670" s="455"/>
    </row>
    <row r="671" spans="1:20" ht="17.25" customHeight="1">
      <c r="A671" s="454"/>
      <c r="B671" s="454"/>
      <c r="C671" s="454"/>
      <c r="D671" s="454"/>
      <c r="E671" s="454"/>
      <c r="F671" s="454"/>
      <c r="G671" s="454"/>
      <c r="H671" s="454"/>
      <c r="I671" s="527"/>
      <c r="J671" s="455"/>
      <c r="K671" s="455"/>
      <c r="L671" s="455"/>
      <c r="M671" s="455"/>
      <c r="N671" s="455"/>
      <c r="O671" s="455"/>
      <c r="P671" s="455"/>
      <c r="Q671" s="455"/>
      <c r="R671" s="455"/>
      <c r="S671" s="455"/>
      <c r="T671" s="455"/>
    </row>
    <row r="672" spans="1:20" ht="17.25" customHeight="1">
      <c r="A672" s="454"/>
      <c r="B672" s="454"/>
      <c r="C672" s="454"/>
      <c r="D672" s="454"/>
      <c r="E672" s="454"/>
      <c r="F672" s="454"/>
      <c r="G672" s="454"/>
      <c r="H672" s="454"/>
      <c r="I672" s="527"/>
      <c r="J672" s="455"/>
      <c r="K672" s="455"/>
      <c r="L672" s="455"/>
      <c r="M672" s="455"/>
      <c r="N672" s="455"/>
      <c r="O672" s="455"/>
      <c r="P672" s="455"/>
      <c r="Q672" s="455"/>
      <c r="R672" s="455"/>
      <c r="S672" s="455"/>
      <c r="T672" s="455"/>
    </row>
    <row r="673" spans="1:20" ht="17.25" customHeight="1">
      <c r="A673" s="454"/>
      <c r="B673" s="454"/>
      <c r="C673" s="454"/>
      <c r="D673" s="454"/>
      <c r="E673" s="454"/>
      <c r="F673" s="454"/>
      <c r="G673" s="454"/>
      <c r="H673" s="454"/>
      <c r="I673" s="527"/>
      <c r="J673" s="455"/>
      <c r="K673" s="455"/>
      <c r="L673" s="455"/>
      <c r="M673" s="455"/>
      <c r="N673" s="455"/>
      <c r="O673" s="455"/>
      <c r="P673" s="455"/>
      <c r="Q673" s="455"/>
      <c r="R673" s="455"/>
      <c r="S673" s="455"/>
      <c r="T673" s="455"/>
    </row>
    <row r="674" spans="1:20" ht="17.25" customHeight="1">
      <c r="A674" s="454"/>
      <c r="B674" s="454"/>
      <c r="C674" s="454"/>
      <c r="D674" s="454"/>
      <c r="E674" s="454"/>
      <c r="F674" s="454"/>
      <c r="G674" s="454"/>
      <c r="H674" s="454"/>
      <c r="I674" s="527"/>
      <c r="J674" s="455"/>
      <c r="K674" s="455"/>
      <c r="L674" s="455"/>
      <c r="M674" s="455"/>
      <c r="N674" s="455"/>
      <c r="O674" s="455"/>
      <c r="P674" s="455"/>
      <c r="Q674" s="455"/>
      <c r="R674" s="455"/>
      <c r="S674" s="455"/>
      <c r="T674" s="455"/>
    </row>
    <row r="675" spans="1:20" ht="17.25" customHeight="1">
      <c r="A675" s="454"/>
      <c r="B675" s="454"/>
      <c r="C675" s="454"/>
      <c r="D675" s="454"/>
      <c r="E675" s="454"/>
      <c r="F675" s="454"/>
      <c r="G675" s="454"/>
      <c r="H675" s="454"/>
      <c r="I675" s="527"/>
      <c r="J675" s="455"/>
      <c r="K675" s="455"/>
      <c r="L675" s="455"/>
      <c r="M675" s="455"/>
      <c r="N675" s="455"/>
      <c r="O675" s="455"/>
      <c r="P675" s="455"/>
      <c r="Q675" s="455"/>
      <c r="R675" s="455"/>
      <c r="S675" s="455"/>
      <c r="T675" s="455"/>
    </row>
    <row r="676" spans="1:20" ht="17.25" customHeight="1">
      <c r="A676" s="454"/>
      <c r="B676" s="454"/>
      <c r="C676" s="454"/>
      <c r="D676" s="454"/>
      <c r="E676" s="454"/>
      <c r="F676" s="454"/>
      <c r="G676" s="454"/>
      <c r="H676" s="454"/>
      <c r="I676" s="527"/>
      <c r="J676" s="455"/>
      <c r="K676" s="455"/>
      <c r="L676" s="455"/>
      <c r="M676" s="455"/>
      <c r="N676" s="455"/>
      <c r="O676" s="455"/>
      <c r="P676" s="455"/>
      <c r="Q676" s="455"/>
      <c r="R676" s="455"/>
      <c r="S676" s="455"/>
      <c r="T676" s="455"/>
    </row>
    <row r="677" spans="1:20" ht="17.25" customHeight="1">
      <c r="A677" s="454"/>
      <c r="B677" s="454"/>
      <c r="C677" s="454"/>
      <c r="D677" s="454"/>
      <c r="E677" s="454"/>
      <c r="F677" s="454"/>
      <c r="G677" s="454"/>
      <c r="H677" s="454"/>
      <c r="I677" s="527"/>
      <c r="J677" s="455"/>
      <c r="K677" s="455"/>
      <c r="L677" s="455"/>
      <c r="M677" s="455"/>
      <c r="N677" s="455"/>
      <c r="O677" s="455"/>
      <c r="P677" s="455"/>
      <c r="Q677" s="455"/>
      <c r="R677" s="455"/>
      <c r="S677" s="455"/>
      <c r="T677" s="455"/>
    </row>
    <row r="678" spans="1:20" ht="17.25" customHeight="1">
      <c r="A678" s="454"/>
      <c r="B678" s="454"/>
      <c r="C678" s="454"/>
      <c r="D678" s="454"/>
      <c r="E678" s="454"/>
      <c r="F678" s="454"/>
      <c r="G678" s="454"/>
      <c r="H678" s="454"/>
      <c r="I678" s="527"/>
      <c r="J678" s="455"/>
      <c r="K678" s="455"/>
      <c r="L678" s="455"/>
      <c r="M678" s="455"/>
      <c r="N678" s="455"/>
      <c r="O678" s="455"/>
      <c r="P678" s="455"/>
      <c r="Q678" s="455"/>
      <c r="R678" s="455"/>
      <c r="S678" s="455"/>
      <c r="T678" s="455"/>
    </row>
    <row r="679" spans="1:20" ht="17.25" customHeight="1">
      <c r="A679" s="454"/>
      <c r="B679" s="454"/>
      <c r="C679" s="454"/>
      <c r="D679" s="454"/>
      <c r="E679" s="454"/>
      <c r="F679" s="454"/>
      <c r="G679" s="454"/>
      <c r="H679" s="454"/>
      <c r="I679" s="527"/>
      <c r="J679" s="455"/>
      <c r="K679" s="455"/>
      <c r="L679" s="455"/>
      <c r="M679" s="455"/>
      <c r="N679" s="455"/>
      <c r="O679" s="455"/>
      <c r="P679" s="455"/>
      <c r="Q679" s="455"/>
      <c r="R679" s="455"/>
      <c r="S679" s="455"/>
      <c r="T679" s="455"/>
    </row>
    <row r="680" spans="1:20" ht="17.25" customHeight="1">
      <c r="A680" s="454"/>
      <c r="B680" s="454"/>
      <c r="C680" s="454"/>
      <c r="D680" s="454"/>
      <c r="E680" s="454"/>
      <c r="F680" s="454"/>
      <c r="G680" s="454"/>
      <c r="H680" s="454"/>
      <c r="I680" s="527"/>
      <c r="J680" s="455"/>
      <c r="K680" s="455"/>
      <c r="L680" s="455"/>
      <c r="M680" s="455"/>
      <c r="N680" s="455"/>
      <c r="O680" s="455"/>
      <c r="P680" s="455"/>
      <c r="Q680" s="455"/>
      <c r="R680" s="455"/>
      <c r="S680" s="455"/>
      <c r="T680" s="455"/>
    </row>
    <row r="681" spans="1:20" ht="17.25" customHeight="1">
      <c r="A681" s="454"/>
      <c r="B681" s="454"/>
      <c r="C681" s="454"/>
      <c r="D681" s="454"/>
      <c r="E681" s="454"/>
      <c r="F681" s="454"/>
      <c r="G681" s="454"/>
      <c r="H681" s="454"/>
      <c r="I681" s="527"/>
      <c r="J681" s="455"/>
      <c r="K681" s="455"/>
      <c r="L681" s="455"/>
      <c r="M681" s="455"/>
      <c r="N681" s="455"/>
      <c r="O681" s="455"/>
      <c r="P681" s="455"/>
      <c r="Q681" s="455"/>
      <c r="R681" s="455"/>
      <c r="S681" s="455"/>
      <c r="T681" s="455"/>
    </row>
    <row r="682" spans="1:20" ht="17.25" customHeight="1">
      <c r="A682" s="454"/>
      <c r="B682" s="454"/>
      <c r="C682" s="454"/>
      <c r="D682" s="454"/>
      <c r="E682" s="454"/>
      <c r="F682" s="454"/>
      <c r="G682" s="454"/>
      <c r="H682" s="454"/>
      <c r="I682" s="527"/>
      <c r="J682" s="455"/>
      <c r="K682" s="455"/>
      <c r="L682" s="455"/>
      <c r="M682" s="455"/>
      <c r="N682" s="455"/>
      <c r="O682" s="455"/>
      <c r="P682" s="455"/>
      <c r="Q682" s="455"/>
      <c r="R682" s="455"/>
      <c r="S682" s="455"/>
      <c r="T682" s="455"/>
    </row>
    <row r="683" spans="1:20" ht="17.25" customHeight="1">
      <c r="A683" s="454"/>
      <c r="B683" s="454"/>
      <c r="C683" s="454"/>
      <c r="D683" s="454"/>
      <c r="E683" s="454"/>
      <c r="F683" s="454"/>
      <c r="G683" s="454"/>
      <c r="H683" s="454"/>
      <c r="I683" s="527"/>
      <c r="J683" s="455"/>
      <c r="K683" s="455"/>
      <c r="L683" s="455"/>
      <c r="M683" s="455"/>
      <c r="N683" s="455"/>
      <c r="O683" s="455"/>
      <c r="P683" s="455"/>
      <c r="Q683" s="455"/>
      <c r="R683" s="455"/>
      <c r="S683" s="455"/>
      <c r="T683" s="455"/>
    </row>
    <row r="684" spans="1:20" ht="17.25" customHeight="1">
      <c r="A684" s="454"/>
      <c r="B684" s="454"/>
      <c r="C684" s="454"/>
      <c r="D684" s="454"/>
      <c r="E684" s="454"/>
      <c r="F684" s="454"/>
      <c r="G684" s="454"/>
      <c r="H684" s="454"/>
      <c r="I684" s="527"/>
      <c r="J684" s="455"/>
      <c r="K684" s="455"/>
      <c r="L684" s="455"/>
      <c r="M684" s="455"/>
      <c r="N684" s="455"/>
      <c r="O684" s="455"/>
      <c r="P684" s="455"/>
      <c r="Q684" s="455"/>
      <c r="R684" s="455"/>
      <c r="S684" s="455"/>
      <c r="T684" s="455"/>
    </row>
    <row r="685" spans="1:20" ht="17.25" customHeight="1">
      <c r="A685" s="454"/>
      <c r="B685" s="454"/>
      <c r="C685" s="454"/>
      <c r="D685" s="454"/>
      <c r="E685" s="454"/>
      <c r="F685" s="454"/>
      <c r="G685" s="454"/>
      <c r="H685" s="454"/>
      <c r="I685" s="527"/>
      <c r="J685" s="455"/>
      <c r="K685" s="455"/>
      <c r="L685" s="455"/>
      <c r="M685" s="455"/>
      <c r="N685" s="455"/>
      <c r="O685" s="455"/>
      <c r="P685" s="455"/>
      <c r="Q685" s="455"/>
      <c r="R685" s="455"/>
      <c r="S685" s="455"/>
      <c r="T685" s="455"/>
    </row>
    <row r="686" spans="1:20" ht="17.25" customHeight="1">
      <c r="A686" s="454"/>
      <c r="B686" s="454"/>
      <c r="C686" s="454"/>
      <c r="D686" s="454"/>
      <c r="E686" s="454"/>
      <c r="F686" s="454"/>
      <c r="G686" s="454"/>
      <c r="H686" s="454"/>
      <c r="I686" s="527"/>
      <c r="J686" s="455"/>
      <c r="K686" s="455"/>
      <c r="L686" s="455"/>
      <c r="M686" s="455"/>
      <c r="N686" s="455"/>
      <c r="O686" s="455"/>
      <c r="P686" s="455"/>
      <c r="Q686" s="455"/>
      <c r="R686" s="455"/>
      <c r="S686" s="455"/>
      <c r="T686" s="455"/>
    </row>
    <row r="687" spans="1:20" ht="17.25" customHeight="1">
      <c r="A687" s="454"/>
      <c r="B687" s="454"/>
      <c r="C687" s="454"/>
      <c r="D687" s="454"/>
      <c r="E687" s="454"/>
      <c r="F687" s="454"/>
      <c r="G687" s="454"/>
      <c r="H687" s="454"/>
      <c r="I687" s="527"/>
      <c r="J687" s="455"/>
      <c r="K687" s="455"/>
      <c r="L687" s="455"/>
      <c r="M687" s="455"/>
      <c r="N687" s="455"/>
      <c r="O687" s="455"/>
      <c r="P687" s="455"/>
      <c r="Q687" s="455"/>
      <c r="R687" s="455"/>
      <c r="S687" s="455"/>
      <c r="T687" s="455"/>
    </row>
    <row r="688" spans="1:20" ht="17.25" customHeight="1">
      <c r="A688" s="454"/>
      <c r="B688" s="454"/>
      <c r="C688" s="454"/>
      <c r="D688" s="454"/>
      <c r="E688" s="454"/>
      <c r="F688" s="454"/>
      <c r="G688" s="454"/>
      <c r="H688" s="454"/>
      <c r="I688" s="527"/>
      <c r="J688" s="455"/>
      <c r="K688" s="455"/>
      <c r="L688" s="455"/>
      <c r="M688" s="455"/>
      <c r="N688" s="455"/>
      <c r="O688" s="455"/>
      <c r="P688" s="455"/>
      <c r="Q688" s="455"/>
      <c r="R688" s="455"/>
      <c r="S688" s="455"/>
      <c r="T688" s="455"/>
    </row>
    <row r="689" spans="1:20" ht="17.25" customHeight="1">
      <c r="A689" s="454"/>
      <c r="B689" s="454"/>
      <c r="C689" s="454"/>
      <c r="D689" s="454"/>
      <c r="E689" s="454"/>
      <c r="F689" s="454"/>
      <c r="G689" s="454"/>
      <c r="H689" s="454"/>
      <c r="I689" s="527"/>
      <c r="J689" s="455"/>
      <c r="K689" s="455"/>
      <c r="L689" s="455"/>
      <c r="M689" s="455"/>
      <c r="N689" s="455"/>
      <c r="O689" s="455"/>
      <c r="P689" s="455"/>
      <c r="Q689" s="455"/>
      <c r="R689" s="455"/>
      <c r="S689" s="455"/>
      <c r="T689" s="455"/>
    </row>
    <row r="690" spans="1:20" ht="17.25" customHeight="1">
      <c r="A690" s="454"/>
      <c r="B690" s="454"/>
      <c r="C690" s="454"/>
      <c r="D690" s="454"/>
      <c r="E690" s="454"/>
      <c r="F690" s="454"/>
      <c r="G690" s="454"/>
      <c r="H690" s="454"/>
      <c r="I690" s="527"/>
      <c r="J690" s="455"/>
      <c r="K690" s="455"/>
      <c r="L690" s="455"/>
      <c r="M690" s="455"/>
      <c r="N690" s="455"/>
      <c r="O690" s="455"/>
      <c r="P690" s="455"/>
      <c r="Q690" s="455"/>
      <c r="R690" s="455"/>
      <c r="S690" s="455"/>
      <c r="T690" s="455"/>
    </row>
    <row r="691" spans="1:20" ht="17.25" customHeight="1">
      <c r="A691" s="454"/>
      <c r="B691" s="454"/>
      <c r="C691" s="454"/>
      <c r="D691" s="454"/>
      <c r="E691" s="454"/>
      <c r="F691" s="454"/>
      <c r="G691" s="454"/>
      <c r="H691" s="454"/>
      <c r="I691" s="527"/>
      <c r="J691" s="455"/>
      <c r="K691" s="455"/>
      <c r="L691" s="455"/>
      <c r="M691" s="455"/>
      <c r="N691" s="455"/>
      <c r="O691" s="455"/>
      <c r="P691" s="455"/>
      <c r="Q691" s="455"/>
      <c r="R691" s="455"/>
      <c r="S691" s="455"/>
      <c r="T691" s="455"/>
    </row>
    <row r="692" spans="1:20" ht="17.25" customHeight="1">
      <c r="A692" s="454"/>
      <c r="B692" s="454"/>
      <c r="C692" s="454"/>
      <c r="D692" s="454"/>
      <c r="E692" s="454"/>
      <c r="F692" s="454"/>
      <c r="G692" s="454"/>
      <c r="H692" s="454"/>
      <c r="I692" s="527"/>
      <c r="J692" s="455"/>
      <c r="K692" s="455"/>
      <c r="L692" s="455"/>
      <c r="M692" s="455"/>
      <c r="N692" s="455"/>
      <c r="O692" s="455"/>
      <c r="P692" s="455"/>
      <c r="Q692" s="455"/>
      <c r="R692" s="455"/>
      <c r="S692" s="455"/>
      <c r="T692" s="455"/>
    </row>
    <row r="693" spans="1:20" ht="17.25" customHeight="1">
      <c r="A693" s="454"/>
      <c r="B693" s="454"/>
      <c r="C693" s="454"/>
      <c r="D693" s="454"/>
      <c r="E693" s="454"/>
      <c r="F693" s="454"/>
      <c r="G693" s="454"/>
      <c r="H693" s="454"/>
      <c r="I693" s="527"/>
      <c r="J693" s="455"/>
      <c r="K693" s="455"/>
      <c r="L693" s="455"/>
      <c r="M693" s="455"/>
      <c r="N693" s="455"/>
      <c r="O693" s="455"/>
      <c r="P693" s="455"/>
      <c r="Q693" s="455"/>
      <c r="R693" s="455"/>
      <c r="S693" s="455"/>
      <c r="T693" s="455"/>
    </row>
    <row r="694" spans="1:20" ht="17.25" customHeight="1">
      <c r="A694" s="454"/>
      <c r="B694" s="454"/>
      <c r="C694" s="454"/>
      <c r="D694" s="454"/>
      <c r="E694" s="454"/>
      <c r="F694" s="454"/>
      <c r="G694" s="454"/>
      <c r="H694" s="454"/>
      <c r="I694" s="527"/>
      <c r="J694" s="455"/>
      <c r="K694" s="455"/>
      <c r="L694" s="455"/>
      <c r="M694" s="455"/>
      <c r="N694" s="455"/>
      <c r="O694" s="455"/>
      <c r="P694" s="455"/>
      <c r="Q694" s="455"/>
      <c r="R694" s="455"/>
      <c r="S694" s="455"/>
      <c r="T694" s="455"/>
    </row>
    <row r="695" spans="1:20" ht="17.25" customHeight="1">
      <c r="A695" s="454"/>
      <c r="B695" s="454"/>
      <c r="C695" s="454"/>
      <c r="D695" s="454"/>
      <c r="E695" s="454"/>
      <c r="F695" s="454"/>
      <c r="G695" s="454"/>
      <c r="H695" s="454"/>
      <c r="I695" s="527"/>
      <c r="J695" s="455"/>
      <c r="K695" s="455"/>
      <c r="L695" s="455"/>
      <c r="M695" s="455"/>
      <c r="N695" s="455"/>
      <c r="O695" s="455"/>
      <c r="P695" s="455"/>
      <c r="Q695" s="455"/>
      <c r="R695" s="455"/>
      <c r="S695" s="455"/>
      <c r="T695" s="455"/>
    </row>
    <row r="696" spans="1:20" ht="17.25" customHeight="1">
      <c r="A696" s="454"/>
      <c r="B696" s="454"/>
      <c r="C696" s="454"/>
      <c r="D696" s="454"/>
      <c r="E696" s="454"/>
      <c r="F696" s="454"/>
      <c r="G696" s="454"/>
      <c r="H696" s="454"/>
      <c r="I696" s="527"/>
      <c r="J696" s="455"/>
      <c r="K696" s="455"/>
      <c r="L696" s="455"/>
      <c r="M696" s="455"/>
      <c r="N696" s="455"/>
      <c r="O696" s="455"/>
      <c r="P696" s="455"/>
      <c r="Q696" s="455"/>
      <c r="R696" s="455"/>
      <c r="S696" s="455"/>
      <c r="T696" s="455"/>
    </row>
    <row r="697" spans="1:20" ht="17.25" customHeight="1">
      <c r="A697" s="454"/>
      <c r="B697" s="454"/>
      <c r="C697" s="454"/>
      <c r="D697" s="454"/>
      <c r="E697" s="454"/>
      <c r="F697" s="454"/>
      <c r="G697" s="454"/>
      <c r="H697" s="454"/>
      <c r="I697" s="527"/>
      <c r="J697" s="455"/>
      <c r="K697" s="455"/>
      <c r="L697" s="455"/>
      <c r="M697" s="455"/>
      <c r="N697" s="455"/>
      <c r="O697" s="455"/>
      <c r="P697" s="455"/>
      <c r="Q697" s="455"/>
      <c r="R697" s="455"/>
      <c r="S697" s="455"/>
      <c r="T697" s="455"/>
    </row>
    <row r="698" spans="1:20" ht="17.25" customHeight="1">
      <c r="A698" s="454"/>
      <c r="B698" s="454"/>
      <c r="C698" s="454"/>
      <c r="D698" s="454"/>
      <c r="E698" s="454"/>
      <c r="F698" s="454"/>
      <c r="G698" s="454"/>
      <c r="H698" s="454"/>
      <c r="I698" s="527"/>
      <c r="J698" s="455"/>
      <c r="K698" s="455"/>
      <c r="L698" s="455"/>
      <c r="M698" s="455"/>
      <c r="N698" s="455"/>
      <c r="O698" s="455"/>
      <c r="P698" s="455"/>
      <c r="Q698" s="455"/>
      <c r="R698" s="455"/>
      <c r="S698" s="455"/>
      <c r="T698" s="455"/>
    </row>
    <row r="699" spans="1:20" ht="17.25" customHeight="1">
      <c r="A699" s="454"/>
      <c r="B699" s="454"/>
      <c r="C699" s="454"/>
      <c r="D699" s="454"/>
      <c r="E699" s="454"/>
      <c r="F699" s="454"/>
      <c r="G699" s="454"/>
      <c r="H699" s="454"/>
      <c r="I699" s="527"/>
      <c r="J699" s="455"/>
      <c r="K699" s="455"/>
      <c r="L699" s="455"/>
      <c r="M699" s="455"/>
      <c r="N699" s="455"/>
      <c r="O699" s="455"/>
      <c r="P699" s="455"/>
      <c r="Q699" s="455"/>
      <c r="R699" s="455"/>
      <c r="S699" s="455"/>
      <c r="T699" s="455"/>
    </row>
    <row r="700" spans="1:20" ht="17.25" customHeight="1">
      <c r="A700" s="454"/>
      <c r="B700" s="454"/>
      <c r="C700" s="454"/>
      <c r="D700" s="454"/>
      <c r="E700" s="454"/>
      <c r="F700" s="454"/>
      <c r="G700" s="454"/>
      <c r="H700" s="454"/>
      <c r="I700" s="527"/>
      <c r="J700" s="455"/>
      <c r="K700" s="455"/>
      <c r="L700" s="455"/>
      <c r="M700" s="455"/>
      <c r="N700" s="455"/>
      <c r="O700" s="455"/>
      <c r="P700" s="455"/>
      <c r="Q700" s="455"/>
      <c r="R700" s="455"/>
      <c r="S700" s="455"/>
      <c r="T700" s="455"/>
    </row>
    <row r="701" spans="1:20" ht="17.25" customHeight="1">
      <c r="A701" s="454"/>
      <c r="B701" s="454"/>
      <c r="C701" s="454"/>
      <c r="D701" s="454"/>
      <c r="E701" s="454"/>
      <c r="F701" s="454"/>
      <c r="G701" s="454"/>
      <c r="H701" s="454"/>
      <c r="I701" s="527"/>
      <c r="J701" s="455"/>
      <c r="K701" s="455"/>
      <c r="L701" s="455"/>
      <c r="M701" s="455"/>
      <c r="N701" s="455"/>
      <c r="O701" s="455"/>
      <c r="P701" s="455"/>
      <c r="Q701" s="455"/>
      <c r="R701" s="455"/>
      <c r="S701" s="455"/>
      <c r="T701" s="455"/>
    </row>
    <row r="702" spans="1:20" ht="17.25" customHeight="1">
      <c r="A702" s="454"/>
      <c r="B702" s="454"/>
      <c r="C702" s="454"/>
      <c r="D702" s="454"/>
      <c r="E702" s="454"/>
      <c r="F702" s="454"/>
      <c r="G702" s="454"/>
      <c r="H702" s="454"/>
      <c r="I702" s="527"/>
      <c r="J702" s="455"/>
      <c r="K702" s="455"/>
      <c r="L702" s="455"/>
      <c r="M702" s="455"/>
      <c r="N702" s="455"/>
      <c r="O702" s="455"/>
      <c r="P702" s="455"/>
      <c r="Q702" s="455"/>
      <c r="R702" s="455"/>
      <c r="S702" s="455"/>
      <c r="T702" s="455"/>
    </row>
    <row r="703" spans="1:20" ht="17.25" customHeight="1">
      <c r="A703" s="454"/>
      <c r="B703" s="454"/>
      <c r="C703" s="454"/>
      <c r="D703" s="454"/>
      <c r="E703" s="454"/>
      <c r="F703" s="454"/>
      <c r="G703" s="454"/>
      <c r="H703" s="454"/>
      <c r="I703" s="527"/>
      <c r="J703" s="455"/>
      <c r="K703" s="455"/>
      <c r="L703" s="455"/>
      <c r="M703" s="455"/>
      <c r="N703" s="455"/>
      <c r="O703" s="455"/>
      <c r="P703" s="455"/>
      <c r="Q703" s="455"/>
      <c r="R703" s="455"/>
      <c r="S703" s="455"/>
      <c r="T703" s="455"/>
    </row>
    <row r="704" spans="1:20" ht="17.25" customHeight="1">
      <c r="A704" s="454"/>
      <c r="B704" s="454"/>
      <c r="C704" s="454"/>
      <c r="D704" s="454"/>
      <c r="E704" s="454"/>
      <c r="F704" s="454"/>
      <c r="G704" s="454"/>
      <c r="H704" s="454"/>
      <c r="I704" s="527"/>
      <c r="J704" s="455"/>
      <c r="K704" s="455"/>
      <c r="L704" s="455"/>
      <c r="M704" s="455"/>
      <c r="N704" s="455"/>
      <c r="O704" s="455"/>
      <c r="P704" s="455"/>
      <c r="Q704" s="455"/>
      <c r="R704" s="455"/>
      <c r="S704" s="455"/>
      <c r="T704" s="455"/>
    </row>
    <row r="705" spans="1:20" ht="17.25" customHeight="1">
      <c r="A705" s="454"/>
      <c r="B705" s="454"/>
      <c r="C705" s="454"/>
      <c r="D705" s="454"/>
      <c r="E705" s="454"/>
      <c r="F705" s="454"/>
      <c r="G705" s="454"/>
      <c r="H705" s="454"/>
      <c r="I705" s="527"/>
      <c r="J705" s="455"/>
      <c r="K705" s="455"/>
      <c r="L705" s="455"/>
      <c r="M705" s="455"/>
      <c r="N705" s="455"/>
      <c r="O705" s="455"/>
      <c r="P705" s="455"/>
      <c r="Q705" s="455"/>
      <c r="R705" s="455"/>
      <c r="S705" s="455"/>
      <c r="T705" s="455"/>
    </row>
    <row r="706" spans="1:20" ht="17.25" customHeight="1">
      <c r="A706" s="454"/>
      <c r="B706" s="454"/>
      <c r="C706" s="454"/>
      <c r="D706" s="454"/>
      <c r="E706" s="454"/>
      <c r="F706" s="454"/>
      <c r="G706" s="454"/>
      <c r="H706" s="454"/>
      <c r="I706" s="527"/>
      <c r="J706" s="455"/>
      <c r="K706" s="455"/>
      <c r="L706" s="455"/>
      <c r="M706" s="455"/>
      <c r="N706" s="455"/>
      <c r="O706" s="455"/>
      <c r="P706" s="455"/>
      <c r="Q706" s="455"/>
      <c r="R706" s="455"/>
      <c r="S706" s="455"/>
      <c r="T706" s="455"/>
    </row>
    <row r="707" spans="1:20" ht="17.25" customHeight="1">
      <c r="A707" s="454"/>
      <c r="B707" s="454"/>
      <c r="C707" s="454"/>
      <c r="D707" s="454"/>
      <c r="E707" s="454"/>
      <c r="F707" s="454"/>
      <c r="G707" s="454"/>
      <c r="H707" s="454"/>
      <c r="I707" s="527"/>
      <c r="J707" s="455"/>
      <c r="K707" s="455"/>
      <c r="L707" s="455"/>
      <c r="M707" s="455"/>
      <c r="N707" s="455"/>
      <c r="O707" s="455"/>
      <c r="P707" s="455"/>
      <c r="Q707" s="455"/>
      <c r="R707" s="455"/>
      <c r="S707" s="455"/>
      <c r="T707" s="455"/>
    </row>
    <row r="708" spans="1:20" ht="17.25" customHeight="1">
      <c r="A708" s="454"/>
      <c r="B708" s="454"/>
      <c r="C708" s="454"/>
      <c r="D708" s="454"/>
      <c r="E708" s="454"/>
      <c r="F708" s="454"/>
      <c r="G708" s="454"/>
      <c r="H708" s="454"/>
      <c r="I708" s="527"/>
      <c r="J708" s="455"/>
      <c r="K708" s="455"/>
      <c r="L708" s="455"/>
      <c r="M708" s="455"/>
      <c r="N708" s="455"/>
      <c r="O708" s="455"/>
      <c r="P708" s="455"/>
      <c r="Q708" s="455"/>
      <c r="R708" s="455"/>
      <c r="S708" s="455"/>
      <c r="T708" s="455"/>
    </row>
    <row r="709" spans="1:20" ht="17.25" customHeight="1">
      <c r="A709" s="454"/>
      <c r="B709" s="454"/>
      <c r="C709" s="454"/>
      <c r="D709" s="454"/>
      <c r="E709" s="454"/>
      <c r="F709" s="454"/>
      <c r="G709" s="454"/>
      <c r="H709" s="454"/>
      <c r="I709" s="527"/>
      <c r="J709" s="455"/>
      <c r="K709" s="455"/>
      <c r="L709" s="455"/>
      <c r="M709" s="455"/>
      <c r="N709" s="455"/>
      <c r="O709" s="455"/>
      <c r="P709" s="455"/>
      <c r="Q709" s="455"/>
      <c r="R709" s="455"/>
      <c r="S709" s="455"/>
      <c r="T709" s="455"/>
    </row>
    <row r="710" spans="1:20" ht="17.25" customHeight="1">
      <c r="A710" s="454"/>
      <c r="B710" s="454"/>
      <c r="C710" s="454"/>
      <c r="D710" s="454"/>
      <c r="E710" s="454"/>
      <c r="F710" s="454"/>
      <c r="G710" s="454"/>
      <c r="H710" s="454"/>
      <c r="I710" s="527"/>
      <c r="J710" s="455"/>
      <c r="K710" s="455"/>
      <c r="L710" s="455"/>
      <c r="M710" s="455"/>
      <c r="N710" s="455"/>
      <c r="O710" s="455"/>
      <c r="P710" s="455"/>
      <c r="Q710" s="455"/>
      <c r="R710" s="455"/>
      <c r="S710" s="455"/>
      <c r="T710" s="455"/>
    </row>
    <row r="711" spans="1:20" ht="17.25" customHeight="1">
      <c r="A711" s="454"/>
      <c r="B711" s="454"/>
      <c r="C711" s="454"/>
      <c r="D711" s="454"/>
      <c r="E711" s="454"/>
      <c r="F711" s="454"/>
      <c r="G711" s="454"/>
      <c r="H711" s="454"/>
      <c r="I711" s="527"/>
      <c r="J711" s="455"/>
      <c r="K711" s="455"/>
      <c r="L711" s="455"/>
      <c r="M711" s="455"/>
      <c r="N711" s="455"/>
      <c r="O711" s="455"/>
      <c r="P711" s="455"/>
      <c r="Q711" s="455"/>
      <c r="R711" s="455"/>
      <c r="S711" s="455"/>
      <c r="T711" s="455"/>
    </row>
    <row r="712" spans="1:20" ht="17.25" customHeight="1">
      <c r="A712" s="454"/>
      <c r="B712" s="454"/>
      <c r="C712" s="454"/>
      <c r="D712" s="454"/>
      <c r="E712" s="454"/>
      <c r="F712" s="454"/>
      <c r="G712" s="454"/>
      <c r="H712" s="454"/>
      <c r="I712" s="527"/>
      <c r="J712" s="455"/>
      <c r="K712" s="455"/>
      <c r="L712" s="455"/>
      <c r="M712" s="455"/>
      <c r="N712" s="455"/>
      <c r="O712" s="455"/>
      <c r="P712" s="455"/>
      <c r="Q712" s="455"/>
      <c r="R712" s="455"/>
      <c r="S712" s="455"/>
      <c r="T712" s="455"/>
    </row>
    <row r="713" spans="1:20" ht="17.25" customHeight="1">
      <c r="A713" s="454"/>
      <c r="B713" s="454"/>
      <c r="C713" s="454"/>
      <c r="D713" s="454"/>
      <c r="E713" s="454"/>
      <c r="F713" s="454"/>
      <c r="G713" s="454"/>
      <c r="H713" s="454"/>
      <c r="I713" s="527"/>
      <c r="J713" s="455"/>
      <c r="K713" s="455"/>
      <c r="L713" s="455"/>
      <c r="M713" s="455"/>
      <c r="N713" s="455"/>
      <c r="O713" s="455"/>
      <c r="P713" s="455"/>
      <c r="Q713" s="455"/>
      <c r="R713" s="455"/>
      <c r="S713" s="455"/>
      <c r="T713" s="455"/>
    </row>
    <row r="714" spans="1:20" ht="17.25" customHeight="1">
      <c r="A714" s="454"/>
      <c r="B714" s="454"/>
      <c r="C714" s="454"/>
      <c r="D714" s="454"/>
      <c r="E714" s="454"/>
      <c r="F714" s="454"/>
      <c r="G714" s="454"/>
      <c r="H714" s="454"/>
      <c r="I714" s="527"/>
      <c r="J714" s="455"/>
      <c r="K714" s="455"/>
      <c r="L714" s="455"/>
      <c r="M714" s="455"/>
      <c r="N714" s="455"/>
      <c r="O714" s="455"/>
      <c r="P714" s="455"/>
      <c r="Q714" s="455"/>
      <c r="R714" s="455"/>
      <c r="S714" s="455"/>
      <c r="T714" s="455"/>
    </row>
    <row r="715" spans="1:20" ht="17.25" customHeight="1">
      <c r="A715" s="454"/>
      <c r="B715" s="454"/>
      <c r="C715" s="454"/>
      <c r="D715" s="454"/>
      <c r="E715" s="454"/>
      <c r="F715" s="454"/>
      <c r="G715" s="454"/>
      <c r="H715" s="454"/>
      <c r="I715" s="527"/>
      <c r="J715" s="455"/>
      <c r="K715" s="455"/>
      <c r="L715" s="455"/>
      <c r="M715" s="455"/>
      <c r="N715" s="455"/>
      <c r="O715" s="455"/>
      <c r="P715" s="455"/>
      <c r="Q715" s="455"/>
      <c r="R715" s="455"/>
      <c r="S715" s="455"/>
      <c r="T715" s="455"/>
    </row>
    <row r="716" spans="1:20" ht="17.25" customHeight="1">
      <c r="A716" s="454"/>
      <c r="B716" s="454"/>
      <c r="C716" s="454"/>
      <c r="D716" s="454"/>
      <c r="E716" s="454"/>
      <c r="F716" s="454"/>
      <c r="G716" s="454"/>
      <c r="H716" s="454"/>
      <c r="I716" s="527"/>
      <c r="J716" s="455"/>
      <c r="K716" s="455"/>
      <c r="L716" s="455"/>
      <c r="M716" s="455"/>
      <c r="N716" s="455"/>
      <c r="O716" s="455"/>
      <c r="P716" s="455"/>
      <c r="Q716" s="455"/>
      <c r="R716" s="455"/>
      <c r="S716" s="455"/>
      <c r="T716" s="455"/>
    </row>
    <row r="717" spans="1:20" ht="17.25" customHeight="1">
      <c r="A717" s="454"/>
      <c r="B717" s="454"/>
      <c r="C717" s="454"/>
      <c r="D717" s="454"/>
      <c r="E717" s="454"/>
      <c r="F717" s="454"/>
      <c r="G717" s="454"/>
      <c r="H717" s="454"/>
      <c r="I717" s="527"/>
      <c r="J717" s="455"/>
      <c r="K717" s="455"/>
      <c r="L717" s="455"/>
      <c r="M717" s="455"/>
      <c r="N717" s="455"/>
      <c r="O717" s="455"/>
      <c r="P717" s="455"/>
      <c r="Q717" s="455"/>
      <c r="R717" s="455"/>
      <c r="S717" s="455"/>
      <c r="T717" s="455"/>
    </row>
    <row r="718" spans="1:20" ht="17.25" customHeight="1">
      <c r="A718" s="454"/>
      <c r="B718" s="454"/>
      <c r="C718" s="454"/>
      <c r="D718" s="454"/>
      <c r="E718" s="454"/>
      <c r="F718" s="454"/>
      <c r="G718" s="454"/>
      <c r="H718" s="454"/>
      <c r="I718" s="527"/>
      <c r="J718" s="455"/>
      <c r="K718" s="455"/>
      <c r="L718" s="455"/>
      <c r="M718" s="455"/>
      <c r="N718" s="455"/>
      <c r="O718" s="455"/>
      <c r="P718" s="455"/>
      <c r="Q718" s="455"/>
      <c r="R718" s="455"/>
      <c r="S718" s="455"/>
      <c r="T718" s="455"/>
    </row>
    <row r="719" spans="1:20" ht="17.25" customHeight="1">
      <c r="A719" s="454"/>
      <c r="B719" s="454"/>
      <c r="C719" s="454"/>
      <c r="D719" s="454"/>
      <c r="E719" s="454"/>
      <c r="F719" s="454"/>
      <c r="G719" s="454"/>
      <c r="H719" s="454"/>
      <c r="I719" s="527"/>
      <c r="J719" s="455"/>
      <c r="K719" s="455"/>
      <c r="L719" s="455"/>
      <c r="M719" s="455"/>
      <c r="N719" s="455"/>
      <c r="O719" s="455"/>
      <c r="P719" s="455"/>
      <c r="Q719" s="455"/>
      <c r="R719" s="455"/>
      <c r="S719" s="455"/>
      <c r="T719" s="455"/>
    </row>
    <row r="720" spans="1:20" ht="17.25" customHeight="1">
      <c r="A720" s="454"/>
      <c r="B720" s="454"/>
      <c r="C720" s="454"/>
      <c r="D720" s="454"/>
      <c r="E720" s="454"/>
      <c r="F720" s="454"/>
      <c r="G720" s="454"/>
      <c r="H720" s="454"/>
      <c r="I720" s="527"/>
      <c r="J720" s="455"/>
      <c r="K720" s="455"/>
      <c r="L720" s="455"/>
      <c r="M720" s="455"/>
      <c r="N720" s="455"/>
      <c r="O720" s="455"/>
      <c r="P720" s="455"/>
      <c r="Q720" s="455"/>
      <c r="R720" s="455"/>
      <c r="S720" s="455"/>
      <c r="T720" s="455"/>
    </row>
    <row r="721" spans="1:20" ht="17.25" customHeight="1">
      <c r="A721" s="454"/>
      <c r="B721" s="454"/>
      <c r="C721" s="454"/>
      <c r="D721" s="454"/>
      <c r="E721" s="454"/>
      <c r="F721" s="454"/>
      <c r="G721" s="454"/>
      <c r="H721" s="454"/>
      <c r="I721" s="527"/>
      <c r="J721" s="455"/>
      <c r="K721" s="455"/>
      <c r="L721" s="455"/>
      <c r="M721" s="455"/>
      <c r="N721" s="455"/>
      <c r="O721" s="455"/>
      <c r="P721" s="455"/>
      <c r="Q721" s="455"/>
      <c r="R721" s="455"/>
      <c r="S721" s="455"/>
      <c r="T721" s="455"/>
    </row>
    <row r="722" spans="1:20" ht="17.25" customHeight="1">
      <c r="A722" s="454"/>
      <c r="B722" s="454"/>
      <c r="C722" s="454"/>
      <c r="D722" s="454"/>
      <c r="E722" s="454"/>
      <c r="F722" s="454"/>
      <c r="G722" s="454"/>
      <c r="H722" s="454"/>
      <c r="I722" s="527"/>
      <c r="J722" s="455"/>
      <c r="K722" s="455"/>
      <c r="L722" s="455"/>
      <c r="M722" s="455"/>
      <c r="N722" s="455"/>
      <c r="O722" s="455"/>
      <c r="P722" s="455"/>
      <c r="Q722" s="455"/>
      <c r="R722" s="455"/>
      <c r="S722" s="455"/>
      <c r="T722" s="455"/>
    </row>
    <row r="723" spans="1:20" ht="17.25" customHeight="1">
      <c r="A723" s="454"/>
      <c r="B723" s="454"/>
      <c r="C723" s="454"/>
      <c r="D723" s="454"/>
      <c r="E723" s="454"/>
      <c r="F723" s="454"/>
      <c r="G723" s="454"/>
      <c r="H723" s="454"/>
      <c r="I723" s="527"/>
      <c r="J723" s="455"/>
      <c r="K723" s="455"/>
      <c r="L723" s="455"/>
      <c r="M723" s="455"/>
      <c r="N723" s="455"/>
      <c r="O723" s="455"/>
      <c r="P723" s="455"/>
      <c r="Q723" s="455"/>
      <c r="R723" s="455"/>
      <c r="S723" s="455"/>
      <c r="T723" s="455"/>
    </row>
    <row r="724" spans="1:20" ht="17.25" customHeight="1">
      <c r="A724" s="454"/>
      <c r="B724" s="454"/>
      <c r="C724" s="454"/>
      <c r="D724" s="454"/>
      <c r="E724" s="454"/>
      <c r="F724" s="454"/>
      <c r="G724" s="454"/>
      <c r="H724" s="454"/>
      <c r="I724" s="527"/>
      <c r="J724" s="455"/>
      <c r="K724" s="455"/>
      <c r="L724" s="455"/>
      <c r="M724" s="455"/>
      <c r="N724" s="455"/>
      <c r="O724" s="455"/>
      <c r="P724" s="455"/>
      <c r="Q724" s="455"/>
      <c r="R724" s="455"/>
      <c r="S724" s="455"/>
      <c r="T724" s="455"/>
    </row>
    <row r="725" spans="1:20" ht="17.25" customHeight="1">
      <c r="A725" s="454"/>
      <c r="B725" s="454"/>
      <c r="C725" s="454"/>
      <c r="D725" s="454"/>
      <c r="E725" s="454"/>
      <c r="F725" s="454"/>
      <c r="G725" s="454"/>
      <c r="H725" s="454"/>
      <c r="I725" s="527"/>
      <c r="J725" s="455"/>
      <c r="K725" s="455"/>
      <c r="L725" s="455"/>
      <c r="M725" s="455"/>
      <c r="N725" s="455"/>
      <c r="O725" s="455"/>
      <c r="P725" s="455"/>
      <c r="Q725" s="455"/>
      <c r="R725" s="455"/>
      <c r="S725" s="455"/>
      <c r="T725" s="455"/>
    </row>
    <row r="726" spans="1:20" ht="17.25" customHeight="1">
      <c r="A726" s="454"/>
      <c r="B726" s="454"/>
      <c r="C726" s="454"/>
      <c r="D726" s="454"/>
      <c r="E726" s="454"/>
      <c r="F726" s="454"/>
      <c r="G726" s="454"/>
      <c r="H726" s="454"/>
      <c r="I726" s="527"/>
      <c r="J726" s="455"/>
      <c r="K726" s="455"/>
      <c r="L726" s="455"/>
      <c r="M726" s="455"/>
      <c r="N726" s="455"/>
      <c r="O726" s="455"/>
      <c r="P726" s="455"/>
      <c r="Q726" s="455"/>
      <c r="R726" s="455"/>
      <c r="S726" s="455"/>
      <c r="T726" s="455"/>
    </row>
    <row r="727" spans="1:20" ht="17.25" customHeight="1">
      <c r="A727" s="454"/>
      <c r="B727" s="454"/>
      <c r="C727" s="454"/>
      <c r="D727" s="454"/>
      <c r="E727" s="454"/>
      <c r="F727" s="454"/>
      <c r="G727" s="454"/>
      <c r="H727" s="454"/>
      <c r="I727" s="527"/>
      <c r="J727" s="455"/>
      <c r="K727" s="455"/>
      <c r="L727" s="455"/>
      <c r="M727" s="455"/>
      <c r="N727" s="455"/>
      <c r="O727" s="455"/>
      <c r="P727" s="455"/>
      <c r="Q727" s="455"/>
      <c r="R727" s="455"/>
      <c r="S727" s="455"/>
      <c r="T727" s="455"/>
    </row>
    <row r="728" spans="1:20" ht="17.25" customHeight="1">
      <c r="A728" s="454"/>
      <c r="B728" s="454"/>
      <c r="C728" s="454"/>
      <c r="D728" s="454"/>
      <c r="E728" s="454"/>
      <c r="F728" s="454"/>
      <c r="G728" s="454"/>
      <c r="H728" s="454"/>
      <c r="I728" s="527"/>
      <c r="J728" s="455"/>
      <c r="K728" s="455"/>
      <c r="L728" s="455"/>
      <c r="M728" s="455"/>
      <c r="N728" s="455"/>
      <c r="O728" s="455"/>
      <c r="P728" s="455"/>
      <c r="Q728" s="455"/>
      <c r="R728" s="455"/>
      <c r="S728" s="455"/>
      <c r="T728" s="455"/>
    </row>
    <row r="729" spans="1:20" ht="17.25" customHeight="1">
      <c r="A729" s="454"/>
      <c r="B729" s="454"/>
      <c r="C729" s="454"/>
      <c r="D729" s="454"/>
      <c r="E729" s="454"/>
      <c r="F729" s="454"/>
      <c r="G729" s="454"/>
      <c r="H729" s="454"/>
      <c r="I729" s="527"/>
      <c r="J729" s="455"/>
      <c r="K729" s="455"/>
      <c r="L729" s="455"/>
      <c r="M729" s="455"/>
      <c r="N729" s="455"/>
      <c r="O729" s="455"/>
      <c r="P729" s="455"/>
      <c r="Q729" s="455"/>
      <c r="R729" s="455"/>
      <c r="S729" s="455"/>
      <c r="T729" s="455"/>
    </row>
    <row r="730" spans="1:20" ht="17.25" customHeight="1">
      <c r="A730" s="454"/>
      <c r="B730" s="454"/>
      <c r="C730" s="454"/>
      <c r="D730" s="454"/>
      <c r="E730" s="454"/>
      <c r="F730" s="454"/>
      <c r="G730" s="454"/>
      <c r="H730" s="454"/>
      <c r="I730" s="527"/>
      <c r="J730" s="455"/>
      <c r="K730" s="455"/>
      <c r="L730" s="455"/>
      <c r="M730" s="455"/>
      <c r="N730" s="455"/>
      <c r="O730" s="455"/>
      <c r="P730" s="455"/>
      <c r="Q730" s="455"/>
      <c r="R730" s="455"/>
      <c r="S730" s="455"/>
      <c r="T730" s="455"/>
    </row>
    <row r="731" spans="1:20" ht="17.25" customHeight="1">
      <c r="A731" s="454"/>
      <c r="B731" s="454"/>
      <c r="C731" s="454"/>
      <c r="D731" s="454"/>
      <c r="E731" s="454"/>
      <c r="F731" s="454"/>
      <c r="G731" s="454"/>
      <c r="H731" s="454"/>
      <c r="I731" s="527"/>
      <c r="J731" s="455"/>
      <c r="K731" s="455"/>
      <c r="L731" s="455"/>
      <c r="M731" s="455"/>
      <c r="N731" s="455"/>
      <c r="O731" s="455"/>
      <c r="P731" s="455"/>
      <c r="Q731" s="455"/>
      <c r="R731" s="455"/>
      <c r="S731" s="455"/>
      <c r="T731" s="455"/>
    </row>
    <row r="732" spans="1:20" ht="17.25" customHeight="1">
      <c r="A732" s="454"/>
      <c r="B732" s="454"/>
      <c r="C732" s="454"/>
      <c r="D732" s="454"/>
      <c r="E732" s="454"/>
      <c r="F732" s="454"/>
      <c r="G732" s="454"/>
      <c r="H732" s="454"/>
      <c r="I732" s="527"/>
      <c r="J732" s="455"/>
      <c r="K732" s="455"/>
      <c r="L732" s="455"/>
      <c r="M732" s="455"/>
      <c r="N732" s="455"/>
      <c r="O732" s="455"/>
      <c r="P732" s="455"/>
      <c r="Q732" s="455"/>
      <c r="R732" s="455"/>
      <c r="S732" s="455"/>
      <c r="T732" s="455"/>
    </row>
    <row r="733" spans="1:20" ht="17.25" customHeight="1">
      <c r="A733" s="454"/>
      <c r="B733" s="454"/>
      <c r="C733" s="454"/>
      <c r="D733" s="454"/>
      <c r="E733" s="454"/>
      <c r="F733" s="454"/>
      <c r="G733" s="454"/>
      <c r="H733" s="454"/>
      <c r="I733" s="527"/>
      <c r="J733" s="455"/>
      <c r="K733" s="455"/>
      <c r="L733" s="455"/>
      <c r="M733" s="455"/>
      <c r="N733" s="455"/>
      <c r="O733" s="455"/>
      <c r="P733" s="455"/>
      <c r="Q733" s="455"/>
      <c r="R733" s="455"/>
      <c r="S733" s="455"/>
      <c r="T733" s="455"/>
    </row>
    <row r="734" spans="1:20" ht="17.25" customHeight="1">
      <c r="A734" s="454"/>
      <c r="B734" s="454"/>
      <c r="C734" s="454"/>
      <c r="D734" s="454"/>
      <c r="E734" s="454"/>
      <c r="F734" s="454"/>
      <c r="G734" s="454"/>
      <c r="H734" s="454"/>
      <c r="I734" s="527"/>
      <c r="J734" s="455"/>
      <c r="K734" s="455"/>
      <c r="L734" s="455"/>
      <c r="M734" s="455"/>
      <c r="N734" s="455"/>
      <c r="O734" s="455"/>
      <c r="P734" s="455"/>
      <c r="Q734" s="455"/>
      <c r="R734" s="455"/>
      <c r="S734" s="455"/>
      <c r="T734" s="455"/>
    </row>
    <row r="735" spans="1:20" ht="17.25" customHeight="1">
      <c r="A735" s="454"/>
      <c r="B735" s="454"/>
      <c r="C735" s="454"/>
      <c r="D735" s="454"/>
      <c r="E735" s="454"/>
      <c r="F735" s="454"/>
      <c r="G735" s="454"/>
      <c r="H735" s="454"/>
      <c r="I735" s="527"/>
      <c r="J735" s="455"/>
      <c r="K735" s="455"/>
      <c r="L735" s="455"/>
      <c r="M735" s="455"/>
      <c r="N735" s="455"/>
      <c r="O735" s="455"/>
      <c r="P735" s="455"/>
      <c r="Q735" s="455"/>
      <c r="R735" s="455"/>
      <c r="S735" s="455"/>
      <c r="T735" s="455"/>
    </row>
    <row r="736" spans="1:20" ht="17.25" customHeight="1">
      <c r="A736" s="454"/>
      <c r="B736" s="454"/>
      <c r="C736" s="454"/>
      <c r="D736" s="454"/>
      <c r="E736" s="454"/>
      <c r="F736" s="454"/>
      <c r="G736" s="454"/>
      <c r="H736" s="454"/>
      <c r="I736" s="527"/>
      <c r="J736" s="455"/>
      <c r="K736" s="455"/>
      <c r="L736" s="455"/>
      <c r="M736" s="455"/>
      <c r="N736" s="455"/>
      <c r="O736" s="455"/>
      <c r="P736" s="455"/>
      <c r="Q736" s="455"/>
      <c r="R736" s="455"/>
      <c r="S736" s="455"/>
      <c r="T736" s="455"/>
    </row>
    <row r="737" spans="1:20" ht="17.25" customHeight="1">
      <c r="A737" s="454"/>
      <c r="B737" s="454"/>
      <c r="C737" s="454"/>
      <c r="D737" s="454"/>
      <c r="E737" s="454"/>
      <c r="F737" s="454"/>
      <c r="G737" s="454"/>
      <c r="H737" s="454"/>
      <c r="I737" s="527"/>
      <c r="J737" s="455"/>
      <c r="K737" s="455"/>
      <c r="L737" s="455"/>
      <c r="M737" s="455"/>
      <c r="N737" s="455"/>
      <c r="O737" s="455"/>
      <c r="P737" s="455"/>
      <c r="Q737" s="455"/>
      <c r="R737" s="455"/>
      <c r="S737" s="455"/>
      <c r="T737" s="455"/>
    </row>
    <row r="738" spans="1:20" ht="17.25" customHeight="1">
      <c r="A738" s="454"/>
      <c r="B738" s="454"/>
      <c r="C738" s="454"/>
      <c r="D738" s="454"/>
      <c r="E738" s="454"/>
      <c r="F738" s="454"/>
      <c r="G738" s="454"/>
      <c r="H738" s="454"/>
      <c r="I738" s="527"/>
      <c r="J738" s="455"/>
      <c r="K738" s="455"/>
      <c r="L738" s="455"/>
      <c r="M738" s="455"/>
      <c r="N738" s="455"/>
      <c r="O738" s="455"/>
      <c r="P738" s="455"/>
      <c r="Q738" s="455"/>
      <c r="R738" s="455"/>
      <c r="S738" s="455"/>
      <c r="T738" s="455"/>
    </row>
    <row r="739" spans="1:20" ht="17.25" customHeight="1">
      <c r="A739" s="454"/>
      <c r="B739" s="454"/>
      <c r="C739" s="454"/>
      <c r="D739" s="454"/>
      <c r="E739" s="454"/>
      <c r="F739" s="454"/>
      <c r="G739" s="454"/>
      <c r="H739" s="454"/>
      <c r="I739" s="527"/>
      <c r="J739" s="455"/>
      <c r="K739" s="455"/>
      <c r="L739" s="455"/>
      <c r="M739" s="455"/>
      <c r="N739" s="455"/>
      <c r="O739" s="455"/>
      <c r="P739" s="455"/>
      <c r="Q739" s="455"/>
      <c r="R739" s="455"/>
      <c r="S739" s="455"/>
      <c r="T739" s="455"/>
    </row>
    <row r="740" spans="1:20" ht="17.25" customHeight="1">
      <c r="A740" s="454"/>
      <c r="B740" s="454"/>
      <c r="C740" s="454"/>
      <c r="D740" s="454"/>
      <c r="E740" s="454"/>
      <c r="F740" s="454"/>
      <c r="G740" s="454"/>
      <c r="H740" s="454"/>
      <c r="I740" s="527"/>
      <c r="J740" s="455"/>
      <c r="K740" s="455"/>
      <c r="L740" s="455"/>
      <c r="M740" s="455"/>
      <c r="N740" s="455"/>
      <c r="O740" s="455"/>
      <c r="P740" s="455"/>
      <c r="Q740" s="455"/>
      <c r="R740" s="455"/>
      <c r="S740" s="455"/>
      <c r="T740" s="455"/>
    </row>
    <row r="741" spans="1:20" ht="17.25" customHeight="1">
      <c r="A741" s="454"/>
      <c r="B741" s="454"/>
      <c r="C741" s="454"/>
      <c r="D741" s="454"/>
      <c r="E741" s="454"/>
      <c r="F741" s="454"/>
      <c r="G741" s="454"/>
      <c r="H741" s="454"/>
      <c r="I741" s="527"/>
      <c r="J741" s="455"/>
      <c r="K741" s="455"/>
      <c r="L741" s="455"/>
      <c r="M741" s="455"/>
      <c r="N741" s="455"/>
      <c r="O741" s="455"/>
      <c r="P741" s="455"/>
      <c r="Q741" s="455"/>
      <c r="R741" s="455"/>
      <c r="S741" s="455"/>
      <c r="T741" s="455"/>
    </row>
    <row r="742" spans="1:20" ht="17.25" customHeight="1">
      <c r="A742" s="454"/>
      <c r="B742" s="454"/>
      <c r="C742" s="454"/>
      <c r="D742" s="454"/>
      <c r="E742" s="454"/>
      <c r="F742" s="454"/>
      <c r="G742" s="454"/>
      <c r="H742" s="454"/>
      <c r="I742" s="527"/>
      <c r="J742" s="455"/>
      <c r="K742" s="455"/>
      <c r="L742" s="455"/>
      <c r="M742" s="455"/>
      <c r="N742" s="455"/>
      <c r="O742" s="455"/>
      <c r="P742" s="455"/>
      <c r="Q742" s="455"/>
      <c r="R742" s="455"/>
      <c r="S742" s="455"/>
      <c r="T742" s="455"/>
    </row>
    <row r="743" spans="1:20" ht="17.25" customHeight="1">
      <c r="A743" s="454"/>
      <c r="B743" s="454"/>
      <c r="C743" s="454"/>
      <c r="D743" s="454"/>
      <c r="E743" s="454"/>
      <c r="F743" s="454"/>
      <c r="G743" s="454"/>
      <c r="H743" s="454"/>
      <c r="I743" s="527"/>
      <c r="J743" s="455"/>
      <c r="K743" s="455"/>
      <c r="L743" s="455"/>
      <c r="M743" s="455"/>
      <c r="N743" s="455"/>
      <c r="O743" s="455"/>
      <c r="P743" s="455"/>
      <c r="Q743" s="455"/>
      <c r="R743" s="455"/>
      <c r="S743" s="455"/>
      <c r="T743" s="455"/>
    </row>
    <row r="744" spans="1:20" ht="17.25" customHeight="1">
      <c r="A744" s="454"/>
      <c r="B744" s="454"/>
      <c r="C744" s="454"/>
      <c r="D744" s="454"/>
      <c r="E744" s="454"/>
      <c r="F744" s="454"/>
      <c r="G744" s="454"/>
      <c r="H744" s="454"/>
      <c r="I744" s="527"/>
      <c r="J744" s="455"/>
      <c r="K744" s="455"/>
      <c r="L744" s="455"/>
      <c r="M744" s="455"/>
      <c r="N744" s="455"/>
      <c r="O744" s="455"/>
      <c r="P744" s="455"/>
      <c r="Q744" s="455"/>
      <c r="R744" s="455"/>
      <c r="S744" s="455"/>
      <c r="T744" s="455"/>
    </row>
    <row r="745" spans="1:20" ht="17.25" customHeight="1">
      <c r="A745" s="454"/>
      <c r="B745" s="454"/>
      <c r="C745" s="454"/>
      <c r="D745" s="454"/>
      <c r="E745" s="454"/>
      <c r="F745" s="454"/>
      <c r="G745" s="454"/>
      <c r="H745" s="454"/>
      <c r="I745" s="527"/>
      <c r="J745" s="455"/>
      <c r="K745" s="455"/>
      <c r="L745" s="455"/>
      <c r="M745" s="455"/>
      <c r="N745" s="455"/>
      <c r="O745" s="455"/>
      <c r="P745" s="455"/>
      <c r="Q745" s="455"/>
      <c r="R745" s="455"/>
      <c r="S745" s="455"/>
      <c r="T745" s="455"/>
    </row>
    <row r="746" spans="1:20" ht="17.25" customHeight="1">
      <c r="A746" s="454"/>
      <c r="B746" s="454"/>
      <c r="C746" s="454"/>
      <c r="D746" s="454"/>
      <c r="E746" s="454"/>
      <c r="F746" s="454"/>
      <c r="G746" s="454"/>
      <c r="H746" s="454"/>
      <c r="I746" s="527"/>
      <c r="J746" s="455"/>
      <c r="K746" s="455"/>
      <c r="L746" s="455"/>
      <c r="M746" s="455"/>
      <c r="N746" s="455"/>
      <c r="O746" s="455"/>
      <c r="P746" s="455"/>
      <c r="Q746" s="455"/>
      <c r="R746" s="455"/>
      <c r="S746" s="455"/>
      <c r="T746" s="455"/>
    </row>
    <row r="747" spans="1:20" ht="17.25" customHeight="1">
      <c r="A747" s="454"/>
      <c r="B747" s="454"/>
      <c r="C747" s="454"/>
      <c r="D747" s="454"/>
      <c r="E747" s="454"/>
      <c r="F747" s="454"/>
      <c r="G747" s="454"/>
      <c r="H747" s="454"/>
      <c r="I747" s="527"/>
      <c r="J747" s="455"/>
      <c r="K747" s="455"/>
      <c r="L747" s="455"/>
      <c r="M747" s="455"/>
      <c r="N747" s="455"/>
      <c r="O747" s="455"/>
      <c r="P747" s="455"/>
      <c r="Q747" s="455"/>
      <c r="R747" s="455"/>
      <c r="S747" s="455"/>
      <c r="T747" s="455"/>
    </row>
    <row r="748" spans="1:20" ht="17.25" customHeight="1">
      <c r="A748" s="454"/>
      <c r="B748" s="454"/>
      <c r="C748" s="454"/>
      <c r="D748" s="454"/>
      <c r="E748" s="454"/>
      <c r="F748" s="454"/>
      <c r="G748" s="454"/>
      <c r="H748" s="454"/>
      <c r="I748" s="527"/>
      <c r="J748" s="455"/>
      <c r="K748" s="455"/>
      <c r="L748" s="455"/>
      <c r="M748" s="455"/>
      <c r="N748" s="455"/>
      <c r="O748" s="455"/>
      <c r="P748" s="455"/>
      <c r="Q748" s="455"/>
      <c r="R748" s="455"/>
      <c r="S748" s="455"/>
      <c r="T748" s="455"/>
    </row>
    <row r="749" spans="1:20" ht="17.25" customHeight="1">
      <c r="A749" s="454"/>
      <c r="B749" s="454"/>
      <c r="C749" s="454"/>
      <c r="D749" s="454"/>
      <c r="E749" s="454"/>
      <c r="F749" s="454"/>
      <c r="G749" s="454"/>
      <c r="H749" s="454"/>
      <c r="I749" s="527"/>
      <c r="J749" s="455"/>
      <c r="K749" s="455"/>
      <c r="L749" s="455"/>
      <c r="M749" s="455"/>
      <c r="N749" s="455"/>
      <c r="O749" s="455"/>
      <c r="P749" s="455"/>
      <c r="Q749" s="455"/>
      <c r="R749" s="455"/>
      <c r="S749" s="455"/>
      <c r="T749" s="455"/>
    </row>
    <row r="750" spans="1:20" ht="17.25" customHeight="1">
      <c r="A750" s="454"/>
      <c r="B750" s="454"/>
      <c r="C750" s="454"/>
      <c r="D750" s="454"/>
      <c r="E750" s="454"/>
      <c r="F750" s="454"/>
      <c r="G750" s="454"/>
      <c r="H750" s="454"/>
      <c r="I750" s="527"/>
      <c r="J750" s="455"/>
      <c r="K750" s="455"/>
      <c r="L750" s="455"/>
      <c r="M750" s="455"/>
      <c r="N750" s="455"/>
      <c r="O750" s="455"/>
      <c r="P750" s="455"/>
      <c r="Q750" s="455"/>
      <c r="R750" s="455"/>
      <c r="S750" s="455"/>
      <c r="T750" s="455"/>
    </row>
    <row r="751" spans="1:20" ht="17.25" customHeight="1">
      <c r="A751" s="454"/>
      <c r="B751" s="454"/>
      <c r="C751" s="454"/>
      <c r="D751" s="454"/>
      <c r="E751" s="454"/>
      <c r="F751" s="454"/>
      <c r="G751" s="454"/>
      <c r="H751" s="454"/>
      <c r="I751" s="527"/>
      <c r="J751" s="455"/>
      <c r="K751" s="455"/>
      <c r="L751" s="455"/>
      <c r="M751" s="455"/>
      <c r="N751" s="455"/>
      <c r="O751" s="455"/>
      <c r="P751" s="455"/>
      <c r="Q751" s="455"/>
      <c r="R751" s="455"/>
      <c r="S751" s="455"/>
      <c r="T751" s="455"/>
    </row>
    <row r="752" spans="1:20" ht="17.25" customHeight="1">
      <c r="A752" s="454"/>
      <c r="B752" s="454"/>
      <c r="C752" s="454"/>
      <c r="D752" s="454"/>
      <c r="E752" s="454"/>
      <c r="F752" s="454"/>
      <c r="G752" s="454"/>
      <c r="H752" s="454"/>
      <c r="I752" s="527"/>
      <c r="J752" s="455"/>
      <c r="K752" s="455"/>
      <c r="L752" s="455"/>
      <c r="M752" s="455"/>
      <c r="N752" s="455"/>
      <c r="O752" s="455"/>
      <c r="P752" s="455"/>
      <c r="Q752" s="455"/>
      <c r="R752" s="455"/>
      <c r="S752" s="455"/>
      <c r="T752" s="455"/>
    </row>
    <row r="753" spans="1:20" ht="17.25" customHeight="1">
      <c r="A753" s="454"/>
      <c r="B753" s="454"/>
      <c r="C753" s="454"/>
      <c r="D753" s="454"/>
      <c r="E753" s="454"/>
      <c r="F753" s="454"/>
      <c r="G753" s="454"/>
      <c r="H753" s="454"/>
      <c r="I753" s="527"/>
      <c r="J753" s="455"/>
      <c r="K753" s="455"/>
      <c r="L753" s="455"/>
      <c r="M753" s="455"/>
      <c r="N753" s="455"/>
      <c r="O753" s="455"/>
      <c r="P753" s="455"/>
      <c r="Q753" s="455"/>
      <c r="R753" s="455"/>
      <c r="S753" s="455"/>
      <c r="T753" s="455"/>
    </row>
    <row r="754" spans="1:20" ht="17.25" customHeight="1">
      <c r="A754" s="454"/>
      <c r="B754" s="454"/>
      <c r="C754" s="454"/>
      <c r="D754" s="454"/>
      <c r="E754" s="454"/>
      <c r="F754" s="454"/>
      <c r="G754" s="454"/>
      <c r="H754" s="454"/>
      <c r="I754" s="527"/>
      <c r="J754" s="455"/>
      <c r="K754" s="455"/>
      <c r="L754" s="455"/>
      <c r="M754" s="455"/>
      <c r="N754" s="455"/>
      <c r="O754" s="455"/>
      <c r="P754" s="455"/>
      <c r="Q754" s="455"/>
      <c r="R754" s="455"/>
      <c r="S754" s="455"/>
      <c r="T754" s="455"/>
    </row>
    <row r="755" spans="1:20" ht="17.25" customHeight="1">
      <c r="A755" s="454"/>
      <c r="B755" s="454"/>
      <c r="C755" s="454"/>
      <c r="D755" s="454"/>
      <c r="E755" s="454"/>
      <c r="F755" s="454"/>
      <c r="G755" s="454"/>
      <c r="H755" s="454"/>
      <c r="I755" s="527"/>
      <c r="J755" s="455"/>
      <c r="K755" s="455"/>
      <c r="L755" s="455"/>
      <c r="M755" s="455"/>
      <c r="N755" s="455"/>
      <c r="O755" s="455"/>
      <c r="P755" s="455"/>
      <c r="Q755" s="455"/>
      <c r="R755" s="455"/>
      <c r="S755" s="455"/>
      <c r="T755" s="455"/>
    </row>
    <row r="756" spans="1:20" ht="17.25" customHeight="1">
      <c r="A756" s="454"/>
      <c r="B756" s="454"/>
      <c r="C756" s="454"/>
      <c r="D756" s="454"/>
      <c r="E756" s="454"/>
      <c r="F756" s="454"/>
      <c r="G756" s="454"/>
      <c r="H756" s="454"/>
      <c r="I756" s="527"/>
      <c r="J756" s="455"/>
      <c r="K756" s="455"/>
      <c r="L756" s="455"/>
      <c r="M756" s="455"/>
      <c r="N756" s="455"/>
      <c r="O756" s="455"/>
      <c r="P756" s="455"/>
      <c r="Q756" s="455"/>
      <c r="R756" s="455"/>
      <c r="S756" s="455"/>
      <c r="T756" s="455"/>
    </row>
    <row r="757" spans="1:20" ht="17.25" customHeight="1">
      <c r="A757" s="454"/>
      <c r="B757" s="454"/>
      <c r="C757" s="454"/>
      <c r="D757" s="454"/>
      <c r="E757" s="454"/>
      <c r="F757" s="454"/>
      <c r="G757" s="454"/>
      <c r="H757" s="454"/>
      <c r="I757" s="527"/>
      <c r="J757" s="455"/>
      <c r="K757" s="455"/>
      <c r="L757" s="455"/>
      <c r="M757" s="455"/>
      <c r="N757" s="455"/>
      <c r="O757" s="455"/>
      <c r="P757" s="455"/>
      <c r="Q757" s="455"/>
      <c r="R757" s="455"/>
      <c r="S757" s="455"/>
      <c r="T757" s="455"/>
    </row>
    <row r="758" spans="1:20" ht="17.25" customHeight="1">
      <c r="A758" s="454"/>
      <c r="B758" s="454"/>
      <c r="C758" s="454"/>
      <c r="D758" s="454"/>
      <c r="E758" s="454"/>
      <c r="F758" s="454"/>
      <c r="G758" s="454"/>
      <c r="H758" s="454"/>
      <c r="I758" s="527"/>
      <c r="J758" s="455"/>
      <c r="K758" s="455"/>
      <c r="L758" s="455"/>
      <c r="M758" s="455"/>
      <c r="N758" s="455"/>
      <c r="O758" s="455"/>
      <c r="P758" s="455"/>
      <c r="Q758" s="455"/>
      <c r="R758" s="455"/>
      <c r="S758" s="455"/>
      <c r="T758" s="455"/>
    </row>
    <row r="759" spans="1:20" ht="17.25" customHeight="1">
      <c r="A759" s="454"/>
      <c r="B759" s="454"/>
      <c r="C759" s="454"/>
      <c r="D759" s="454"/>
      <c r="E759" s="454"/>
      <c r="F759" s="454"/>
      <c r="G759" s="454"/>
      <c r="H759" s="454"/>
      <c r="I759" s="527"/>
      <c r="J759" s="455"/>
      <c r="K759" s="455"/>
      <c r="L759" s="455"/>
      <c r="M759" s="455"/>
      <c r="N759" s="455"/>
      <c r="O759" s="455"/>
      <c r="P759" s="455"/>
      <c r="Q759" s="455"/>
      <c r="R759" s="455"/>
      <c r="S759" s="455"/>
      <c r="T759" s="455"/>
    </row>
    <row r="760" spans="1:20" ht="17.25" customHeight="1">
      <c r="A760" s="454"/>
      <c r="B760" s="454"/>
      <c r="C760" s="454"/>
      <c r="D760" s="454"/>
      <c r="E760" s="454"/>
      <c r="F760" s="454"/>
      <c r="G760" s="454"/>
      <c r="H760" s="454"/>
      <c r="I760" s="527"/>
      <c r="J760" s="455"/>
      <c r="K760" s="455"/>
      <c r="L760" s="455"/>
      <c r="M760" s="455"/>
      <c r="N760" s="455"/>
      <c r="O760" s="455"/>
      <c r="P760" s="455"/>
      <c r="Q760" s="455"/>
      <c r="R760" s="455"/>
      <c r="S760" s="455"/>
      <c r="T760" s="455"/>
    </row>
    <row r="761" spans="1:20" ht="17.25" customHeight="1">
      <c r="A761" s="454"/>
      <c r="B761" s="454"/>
      <c r="C761" s="454"/>
      <c r="D761" s="454"/>
      <c r="E761" s="454"/>
      <c r="F761" s="454"/>
      <c r="G761" s="454"/>
      <c r="H761" s="454"/>
      <c r="I761" s="527"/>
      <c r="J761" s="455"/>
      <c r="K761" s="455"/>
      <c r="L761" s="455"/>
      <c r="M761" s="455"/>
      <c r="N761" s="455"/>
      <c r="O761" s="455"/>
      <c r="P761" s="455"/>
      <c r="Q761" s="455"/>
      <c r="R761" s="455"/>
      <c r="S761" s="455"/>
      <c r="T761" s="455"/>
    </row>
    <row r="762" spans="1:20" ht="17.25" customHeight="1">
      <c r="A762" s="454"/>
      <c r="B762" s="454"/>
      <c r="C762" s="454"/>
      <c r="D762" s="454"/>
      <c r="E762" s="454"/>
      <c r="F762" s="454"/>
      <c r="G762" s="454"/>
      <c r="H762" s="454"/>
      <c r="I762" s="527"/>
      <c r="J762" s="455"/>
      <c r="K762" s="455"/>
      <c r="L762" s="455"/>
      <c r="M762" s="455"/>
      <c r="N762" s="455"/>
      <c r="O762" s="455"/>
      <c r="P762" s="455"/>
      <c r="Q762" s="455"/>
      <c r="R762" s="455"/>
      <c r="S762" s="455"/>
      <c r="T762" s="455"/>
    </row>
    <row r="763" spans="1:20" ht="17.25" customHeight="1">
      <c r="A763" s="454"/>
      <c r="B763" s="454"/>
      <c r="C763" s="454"/>
      <c r="D763" s="454"/>
      <c r="E763" s="454"/>
      <c r="F763" s="454"/>
      <c r="G763" s="454"/>
      <c r="H763" s="454"/>
      <c r="I763" s="527"/>
      <c r="J763" s="455"/>
      <c r="K763" s="455"/>
      <c r="L763" s="455"/>
      <c r="M763" s="455"/>
      <c r="N763" s="455"/>
      <c r="O763" s="455"/>
      <c r="P763" s="455"/>
      <c r="Q763" s="455"/>
      <c r="R763" s="455"/>
      <c r="S763" s="455"/>
      <c r="T763" s="455"/>
    </row>
    <row r="764" spans="1:20" ht="17.25" customHeight="1">
      <c r="A764" s="454"/>
      <c r="B764" s="454"/>
      <c r="C764" s="454"/>
      <c r="D764" s="454"/>
      <c r="E764" s="454"/>
      <c r="F764" s="454"/>
      <c r="G764" s="454"/>
      <c r="H764" s="454"/>
      <c r="I764" s="527"/>
      <c r="J764" s="455"/>
      <c r="K764" s="455"/>
      <c r="L764" s="455"/>
      <c r="M764" s="455"/>
      <c r="N764" s="455"/>
      <c r="O764" s="455"/>
      <c r="P764" s="455"/>
      <c r="Q764" s="455"/>
      <c r="R764" s="455"/>
      <c r="S764" s="455"/>
      <c r="T764" s="455"/>
    </row>
    <row r="765" spans="1:20" ht="17.25" customHeight="1">
      <c r="A765" s="454"/>
      <c r="B765" s="454"/>
      <c r="C765" s="454"/>
      <c r="D765" s="454"/>
      <c r="E765" s="454"/>
      <c r="F765" s="454"/>
      <c r="G765" s="454"/>
      <c r="H765" s="454"/>
      <c r="I765" s="527"/>
      <c r="J765" s="455"/>
      <c r="K765" s="455"/>
      <c r="L765" s="455"/>
      <c r="M765" s="455"/>
      <c r="N765" s="455"/>
      <c r="O765" s="455"/>
      <c r="P765" s="455"/>
      <c r="Q765" s="455"/>
      <c r="R765" s="455"/>
      <c r="S765" s="455"/>
      <c r="T765" s="455"/>
    </row>
    <row r="766" spans="1:20" ht="17.25" customHeight="1">
      <c r="A766" s="454"/>
      <c r="B766" s="454"/>
      <c r="C766" s="454"/>
      <c r="D766" s="454"/>
      <c r="E766" s="454"/>
      <c r="F766" s="454"/>
      <c r="G766" s="454"/>
      <c r="H766" s="454"/>
      <c r="I766" s="527"/>
      <c r="J766" s="455"/>
      <c r="K766" s="455"/>
      <c r="L766" s="455"/>
      <c r="M766" s="455"/>
      <c r="N766" s="455"/>
      <c r="O766" s="455"/>
      <c r="P766" s="455"/>
      <c r="Q766" s="455"/>
      <c r="R766" s="455"/>
      <c r="S766" s="455"/>
      <c r="T766" s="455"/>
    </row>
    <row r="767" spans="1:20" ht="17.25" customHeight="1">
      <c r="A767" s="454"/>
      <c r="B767" s="454"/>
      <c r="C767" s="454"/>
      <c r="D767" s="454"/>
      <c r="E767" s="454"/>
      <c r="F767" s="454"/>
      <c r="G767" s="454"/>
      <c r="H767" s="454"/>
      <c r="I767" s="527"/>
      <c r="J767" s="455"/>
      <c r="K767" s="455"/>
      <c r="L767" s="455"/>
      <c r="M767" s="455"/>
      <c r="N767" s="455"/>
      <c r="O767" s="455"/>
      <c r="P767" s="455"/>
      <c r="Q767" s="455"/>
      <c r="R767" s="455"/>
      <c r="S767" s="455"/>
      <c r="T767" s="455"/>
    </row>
    <row r="768" spans="1:20" ht="17.25" customHeight="1">
      <c r="A768" s="454"/>
      <c r="B768" s="454"/>
      <c r="C768" s="454"/>
      <c r="D768" s="454"/>
      <c r="E768" s="454"/>
      <c r="F768" s="454"/>
      <c r="G768" s="454"/>
      <c r="H768" s="454"/>
      <c r="I768" s="527"/>
      <c r="J768" s="455"/>
      <c r="K768" s="455"/>
      <c r="L768" s="455"/>
      <c r="M768" s="455"/>
      <c r="N768" s="455"/>
      <c r="O768" s="455"/>
      <c r="P768" s="455"/>
      <c r="Q768" s="455"/>
      <c r="R768" s="455"/>
      <c r="S768" s="455"/>
      <c r="T768" s="455"/>
    </row>
    <row r="769" spans="1:20" ht="17.25" customHeight="1">
      <c r="A769" s="454"/>
      <c r="B769" s="454"/>
      <c r="C769" s="454"/>
      <c r="D769" s="454"/>
      <c r="E769" s="454"/>
      <c r="F769" s="454"/>
      <c r="G769" s="454"/>
      <c r="H769" s="454"/>
      <c r="I769" s="527"/>
      <c r="J769" s="455"/>
      <c r="K769" s="455"/>
      <c r="L769" s="455"/>
      <c r="M769" s="455"/>
      <c r="N769" s="455"/>
      <c r="O769" s="455"/>
      <c r="P769" s="455"/>
      <c r="Q769" s="455"/>
      <c r="R769" s="455"/>
      <c r="S769" s="455"/>
      <c r="T769" s="455"/>
    </row>
    <row r="770" spans="1:20" ht="17.25" customHeight="1">
      <c r="A770" s="454"/>
      <c r="B770" s="454"/>
      <c r="C770" s="454"/>
      <c r="D770" s="454"/>
      <c r="E770" s="454"/>
      <c r="F770" s="454"/>
      <c r="G770" s="454"/>
      <c r="H770" s="454"/>
      <c r="I770" s="527"/>
      <c r="J770" s="455"/>
      <c r="K770" s="455"/>
      <c r="L770" s="455"/>
      <c r="M770" s="455"/>
      <c r="N770" s="455"/>
      <c r="O770" s="455"/>
      <c r="P770" s="455"/>
      <c r="Q770" s="455"/>
      <c r="R770" s="455"/>
      <c r="S770" s="455"/>
      <c r="T770" s="455"/>
    </row>
    <row r="771" spans="1:20" ht="17.25" customHeight="1">
      <c r="A771" s="454"/>
      <c r="B771" s="454"/>
      <c r="C771" s="454"/>
      <c r="D771" s="454"/>
      <c r="E771" s="454"/>
      <c r="F771" s="454"/>
      <c r="G771" s="454"/>
      <c r="H771" s="454"/>
      <c r="I771" s="527"/>
      <c r="J771" s="455"/>
      <c r="K771" s="455"/>
      <c r="L771" s="455"/>
      <c r="M771" s="455"/>
      <c r="N771" s="455"/>
      <c r="O771" s="455"/>
      <c r="P771" s="455"/>
      <c r="Q771" s="455"/>
      <c r="R771" s="455"/>
      <c r="S771" s="455"/>
      <c r="T771" s="455"/>
    </row>
    <row r="772" spans="1:20" ht="17.25" customHeight="1">
      <c r="A772" s="454"/>
      <c r="B772" s="454"/>
      <c r="C772" s="454"/>
      <c r="D772" s="454"/>
      <c r="E772" s="454"/>
      <c r="F772" s="454"/>
      <c r="G772" s="454"/>
      <c r="H772" s="454"/>
      <c r="I772" s="527"/>
      <c r="J772" s="455"/>
      <c r="K772" s="455"/>
      <c r="L772" s="455"/>
      <c r="M772" s="455"/>
      <c r="N772" s="455"/>
      <c r="O772" s="455"/>
      <c r="P772" s="455"/>
      <c r="Q772" s="455"/>
      <c r="R772" s="455"/>
      <c r="S772" s="455"/>
      <c r="T772" s="455"/>
    </row>
    <row r="773" spans="1:20" ht="17.25" customHeight="1">
      <c r="A773" s="454"/>
      <c r="B773" s="454"/>
      <c r="C773" s="454"/>
      <c r="D773" s="454"/>
      <c r="E773" s="454"/>
      <c r="F773" s="454"/>
      <c r="G773" s="454"/>
      <c r="H773" s="454"/>
      <c r="I773" s="527"/>
      <c r="J773" s="455"/>
      <c r="K773" s="455"/>
      <c r="L773" s="455"/>
      <c r="M773" s="455"/>
      <c r="N773" s="455"/>
      <c r="O773" s="455"/>
      <c r="P773" s="455"/>
      <c r="Q773" s="455"/>
      <c r="R773" s="455"/>
      <c r="S773" s="455"/>
      <c r="T773" s="455"/>
    </row>
    <row r="774" spans="1:20" ht="17.25" customHeight="1">
      <c r="A774" s="454"/>
      <c r="B774" s="454"/>
      <c r="C774" s="454"/>
      <c r="D774" s="454"/>
      <c r="E774" s="454"/>
      <c r="F774" s="454"/>
      <c r="G774" s="454"/>
      <c r="H774" s="454"/>
      <c r="I774" s="527"/>
      <c r="J774" s="455"/>
      <c r="K774" s="455"/>
      <c r="L774" s="455"/>
      <c r="M774" s="455"/>
      <c r="N774" s="455"/>
      <c r="O774" s="455"/>
      <c r="P774" s="455"/>
      <c r="Q774" s="455"/>
      <c r="R774" s="455"/>
      <c r="S774" s="455"/>
      <c r="T774" s="455"/>
    </row>
    <row r="775" spans="1:20" ht="17.25" customHeight="1">
      <c r="A775" s="454"/>
      <c r="B775" s="454"/>
      <c r="C775" s="454"/>
      <c r="D775" s="454"/>
      <c r="E775" s="454"/>
      <c r="F775" s="454"/>
      <c r="G775" s="454"/>
      <c r="H775" s="454"/>
      <c r="I775" s="527"/>
      <c r="J775" s="455"/>
      <c r="K775" s="455"/>
      <c r="L775" s="455"/>
      <c r="M775" s="455"/>
      <c r="N775" s="455"/>
      <c r="O775" s="455"/>
      <c r="P775" s="455"/>
      <c r="Q775" s="455"/>
      <c r="R775" s="455"/>
      <c r="S775" s="455"/>
      <c r="T775" s="455"/>
    </row>
    <row r="776" spans="1:20" ht="17.25" customHeight="1">
      <c r="A776" s="454"/>
      <c r="B776" s="454"/>
      <c r="C776" s="454"/>
      <c r="D776" s="454"/>
      <c r="E776" s="454"/>
      <c r="F776" s="454"/>
      <c r="G776" s="454"/>
      <c r="H776" s="454"/>
      <c r="I776" s="527"/>
      <c r="J776" s="455"/>
      <c r="K776" s="455"/>
      <c r="L776" s="455"/>
      <c r="M776" s="455"/>
      <c r="N776" s="455"/>
      <c r="O776" s="455"/>
      <c r="P776" s="455"/>
      <c r="Q776" s="455"/>
      <c r="R776" s="455"/>
      <c r="S776" s="455"/>
      <c r="T776" s="455"/>
    </row>
    <row r="777" spans="1:20" ht="17.25" customHeight="1">
      <c r="A777" s="454"/>
      <c r="B777" s="454"/>
      <c r="C777" s="454"/>
      <c r="D777" s="454"/>
      <c r="E777" s="454"/>
      <c r="F777" s="454"/>
      <c r="G777" s="454"/>
      <c r="H777" s="454"/>
      <c r="I777" s="527"/>
      <c r="J777" s="455"/>
      <c r="K777" s="455"/>
      <c r="L777" s="455"/>
      <c r="M777" s="455"/>
      <c r="N777" s="455"/>
      <c r="O777" s="455"/>
      <c r="P777" s="455"/>
      <c r="Q777" s="455"/>
      <c r="R777" s="455"/>
      <c r="S777" s="455"/>
      <c r="T777" s="455"/>
    </row>
    <row r="778" spans="1:20" ht="17.25" customHeight="1">
      <c r="A778" s="454"/>
      <c r="B778" s="454"/>
      <c r="C778" s="454"/>
      <c r="D778" s="454"/>
      <c r="E778" s="454"/>
      <c r="F778" s="454"/>
      <c r="G778" s="454"/>
      <c r="H778" s="454"/>
      <c r="I778" s="527"/>
      <c r="J778" s="455"/>
      <c r="K778" s="455"/>
      <c r="L778" s="455"/>
      <c r="M778" s="455"/>
      <c r="N778" s="455"/>
      <c r="O778" s="455"/>
      <c r="P778" s="455"/>
      <c r="Q778" s="455"/>
      <c r="R778" s="455"/>
      <c r="S778" s="455"/>
      <c r="T778" s="455"/>
    </row>
    <row r="779" spans="1:20" ht="17.25" customHeight="1">
      <c r="A779" s="454"/>
      <c r="B779" s="454"/>
      <c r="C779" s="454"/>
      <c r="D779" s="454"/>
      <c r="E779" s="454"/>
      <c r="F779" s="454"/>
      <c r="G779" s="454"/>
      <c r="H779" s="454"/>
      <c r="I779" s="527"/>
      <c r="J779" s="455"/>
      <c r="K779" s="455"/>
      <c r="L779" s="455"/>
      <c r="M779" s="455"/>
      <c r="N779" s="455"/>
      <c r="O779" s="455"/>
      <c r="P779" s="455"/>
      <c r="Q779" s="455"/>
      <c r="R779" s="455"/>
      <c r="S779" s="455"/>
      <c r="T779" s="455"/>
    </row>
    <row r="780" spans="1:20" ht="17.25" customHeight="1">
      <c r="A780" s="454"/>
      <c r="B780" s="454"/>
      <c r="C780" s="454"/>
      <c r="D780" s="454"/>
      <c r="E780" s="454"/>
      <c r="F780" s="454"/>
      <c r="G780" s="454"/>
      <c r="H780" s="454"/>
      <c r="I780" s="527"/>
      <c r="J780" s="455"/>
      <c r="K780" s="455"/>
      <c r="L780" s="455"/>
      <c r="M780" s="455"/>
      <c r="N780" s="455"/>
      <c r="O780" s="455"/>
      <c r="P780" s="455"/>
      <c r="Q780" s="455"/>
      <c r="R780" s="455"/>
      <c r="S780" s="455"/>
      <c r="T780" s="455"/>
    </row>
    <row r="781" spans="1:20" ht="17.25" customHeight="1">
      <c r="A781" s="454"/>
      <c r="B781" s="454"/>
      <c r="C781" s="454"/>
      <c r="D781" s="454"/>
      <c r="E781" s="454"/>
      <c r="F781" s="454"/>
      <c r="G781" s="454"/>
      <c r="H781" s="454"/>
      <c r="I781" s="527"/>
      <c r="J781" s="455"/>
      <c r="K781" s="455"/>
      <c r="L781" s="455"/>
      <c r="M781" s="455"/>
      <c r="N781" s="455"/>
      <c r="O781" s="455"/>
      <c r="P781" s="455"/>
      <c r="Q781" s="455"/>
      <c r="R781" s="455"/>
      <c r="S781" s="455"/>
      <c r="T781" s="455"/>
    </row>
    <row r="782" spans="1:20" ht="17.25" customHeight="1">
      <c r="A782" s="454"/>
      <c r="B782" s="454"/>
      <c r="C782" s="454"/>
      <c r="D782" s="454"/>
      <c r="E782" s="454"/>
      <c r="F782" s="454"/>
      <c r="G782" s="454"/>
      <c r="H782" s="454"/>
      <c r="I782" s="527"/>
      <c r="J782" s="455"/>
      <c r="K782" s="455"/>
      <c r="L782" s="455"/>
      <c r="M782" s="455"/>
      <c r="N782" s="455"/>
      <c r="O782" s="455"/>
      <c r="P782" s="455"/>
      <c r="Q782" s="455"/>
      <c r="R782" s="455"/>
      <c r="S782" s="455"/>
      <c r="T782" s="455"/>
    </row>
    <row r="783" spans="1:20" ht="17.25" customHeight="1">
      <c r="A783" s="454"/>
      <c r="B783" s="454"/>
      <c r="C783" s="454"/>
      <c r="D783" s="454"/>
      <c r="E783" s="454"/>
      <c r="F783" s="454"/>
      <c r="G783" s="454"/>
      <c r="H783" s="454"/>
      <c r="I783" s="527"/>
      <c r="J783" s="455"/>
      <c r="K783" s="455"/>
      <c r="L783" s="455"/>
      <c r="M783" s="455"/>
      <c r="N783" s="455"/>
      <c r="O783" s="455"/>
      <c r="P783" s="455"/>
      <c r="Q783" s="455"/>
      <c r="R783" s="455"/>
      <c r="S783" s="455"/>
      <c r="T783" s="455"/>
    </row>
    <row r="784" spans="1:20" ht="17.25" customHeight="1">
      <c r="A784" s="454"/>
      <c r="B784" s="454"/>
      <c r="C784" s="454"/>
      <c r="D784" s="454"/>
      <c r="E784" s="454"/>
      <c r="F784" s="454"/>
      <c r="G784" s="454"/>
      <c r="H784" s="454"/>
      <c r="I784" s="527"/>
      <c r="J784" s="455"/>
      <c r="K784" s="455"/>
      <c r="L784" s="455"/>
      <c r="M784" s="455"/>
      <c r="N784" s="455"/>
      <c r="O784" s="455"/>
      <c r="P784" s="455"/>
      <c r="Q784" s="455"/>
      <c r="R784" s="455"/>
      <c r="S784" s="455"/>
      <c r="T784" s="455"/>
    </row>
    <row r="785" spans="1:20" ht="17.25" customHeight="1">
      <c r="A785" s="454"/>
      <c r="B785" s="454"/>
      <c r="C785" s="454"/>
      <c r="D785" s="454"/>
      <c r="E785" s="454"/>
      <c r="F785" s="454"/>
      <c r="G785" s="454"/>
      <c r="H785" s="454"/>
      <c r="I785" s="527"/>
      <c r="J785" s="455"/>
      <c r="K785" s="455"/>
      <c r="L785" s="455"/>
      <c r="M785" s="455"/>
      <c r="N785" s="455"/>
      <c r="O785" s="455"/>
      <c r="P785" s="455"/>
      <c r="Q785" s="455"/>
      <c r="R785" s="455"/>
      <c r="S785" s="455"/>
      <c r="T785" s="455"/>
    </row>
    <row r="786" spans="1:20" ht="17.25" customHeight="1">
      <c r="A786" s="454"/>
      <c r="B786" s="454"/>
      <c r="C786" s="454"/>
      <c r="D786" s="454"/>
      <c r="E786" s="454"/>
      <c r="F786" s="454"/>
      <c r="G786" s="454"/>
      <c r="H786" s="454"/>
      <c r="I786" s="527"/>
      <c r="J786" s="455"/>
      <c r="K786" s="455"/>
      <c r="L786" s="455"/>
      <c r="M786" s="455"/>
      <c r="N786" s="455"/>
      <c r="O786" s="455"/>
      <c r="P786" s="455"/>
      <c r="Q786" s="455"/>
      <c r="R786" s="455"/>
      <c r="S786" s="455"/>
      <c r="T786" s="455"/>
    </row>
    <row r="787" spans="1:20" ht="17.25" customHeight="1">
      <c r="A787" s="454"/>
      <c r="B787" s="454"/>
      <c r="C787" s="454"/>
      <c r="D787" s="454"/>
      <c r="E787" s="454"/>
      <c r="F787" s="454"/>
      <c r="G787" s="454"/>
      <c r="H787" s="454"/>
      <c r="I787" s="527"/>
      <c r="J787" s="455"/>
      <c r="K787" s="455"/>
      <c r="L787" s="455"/>
      <c r="M787" s="455"/>
      <c r="N787" s="455"/>
      <c r="O787" s="455"/>
      <c r="P787" s="455"/>
      <c r="Q787" s="455"/>
      <c r="R787" s="455"/>
      <c r="S787" s="455"/>
      <c r="T787" s="455"/>
    </row>
    <row r="788" spans="1:20" ht="17.25" customHeight="1">
      <c r="A788" s="454"/>
      <c r="B788" s="454"/>
      <c r="C788" s="454"/>
      <c r="D788" s="454"/>
      <c r="E788" s="454"/>
      <c r="F788" s="454"/>
      <c r="G788" s="454"/>
      <c r="H788" s="454"/>
      <c r="I788" s="527"/>
      <c r="J788" s="455"/>
      <c r="K788" s="455"/>
      <c r="L788" s="455"/>
      <c r="M788" s="455"/>
      <c r="N788" s="455"/>
      <c r="O788" s="455"/>
      <c r="P788" s="455"/>
      <c r="Q788" s="455"/>
      <c r="R788" s="455"/>
      <c r="S788" s="455"/>
      <c r="T788" s="455"/>
    </row>
    <row r="789" spans="1:20" ht="17.25" customHeight="1">
      <c r="A789" s="454"/>
      <c r="B789" s="454"/>
      <c r="C789" s="454"/>
      <c r="D789" s="454"/>
      <c r="E789" s="454"/>
      <c r="F789" s="454"/>
      <c r="G789" s="454"/>
      <c r="H789" s="454"/>
      <c r="I789" s="527"/>
      <c r="J789" s="455"/>
      <c r="K789" s="455"/>
      <c r="L789" s="455"/>
      <c r="M789" s="455"/>
      <c r="N789" s="455"/>
      <c r="O789" s="455"/>
      <c r="P789" s="455"/>
      <c r="Q789" s="455"/>
      <c r="R789" s="455"/>
      <c r="S789" s="455"/>
      <c r="T789" s="455"/>
    </row>
    <row r="790" spans="1:20" ht="17.25" customHeight="1">
      <c r="A790" s="454"/>
      <c r="B790" s="454"/>
      <c r="C790" s="454"/>
      <c r="D790" s="454"/>
      <c r="E790" s="454"/>
      <c r="F790" s="454"/>
      <c r="G790" s="454"/>
      <c r="H790" s="454"/>
      <c r="I790" s="527"/>
      <c r="J790" s="455"/>
      <c r="K790" s="455"/>
      <c r="L790" s="455"/>
      <c r="M790" s="455"/>
      <c r="N790" s="455"/>
      <c r="O790" s="455"/>
      <c r="P790" s="455"/>
      <c r="Q790" s="455"/>
      <c r="R790" s="455"/>
      <c r="S790" s="455"/>
      <c r="T790" s="455"/>
    </row>
    <row r="791" spans="1:20" ht="17.25" customHeight="1">
      <c r="A791" s="454"/>
      <c r="B791" s="454"/>
      <c r="C791" s="454"/>
      <c r="D791" s="454"/>
      <c r="E791" s="454"/>
      <c r="F791" s="454"/>
      <c r="G791" s="454"/>
      <c r="H791" s="454"/>
      <c r="I791" s="527"/>
      <c r="J791" s="455"/>
      <c r="K791" s="455"/>
      <c r="L791" s="455"/>
      <c r="M791" s="455"/>
      <c r="N791" s="455"/>
      <c r="O791" s="455"/>
      <c r="P791" s="455"/>
      <c r="Q791" s="455"/>
      <c r="R791" s="455"/>
      <c r="S791" s="455"/>
      <c r="T791" s="455"/>
    </row>
    <row r="792" spans="1:20" ht="17.25" customHeight="1">
      <c r="A792" s="454"/>
      <c r="B792" s="454"/>
      <c r="C792" s="454"/>
      <c r="D792" s="454"/>
      <c r="E792" s="454"/>
      <c r="F792" s="454"/>
      <c r="G792" s="454"/>
      <c r="H792" s="454"/>
      <c r="I792" s="527"/>
      <c r="J792" s="455"/>
      <c r="K792" s="455"/>
      <c r="L792" s="455"/>
      <c r="M792" s="455"/>
      <c r="N792" s="455"/>
      <c r="O792" s="455"/>
      <c r="P792" s="455"/>
      <c r="Q792" s="455"/>
      <c r="R792" s="455"/>
      <c r="S792" s="455"/>
      <c r="T792" s="455"/>
    </row>
    <row r="793" spans="1:20" ht="17.25" customHeight="1">
      <c r="A793" s="454"/>
      <c r="B793" s="454"/>
      <c r="C793" s="454"/>
      <c r="D793" s="454"/>
      <c r="E793" s="454"/>
      <c r="F793" s="454"/>
      <c r="G793" s="454"/>
      <c r="H793" s="454"/>
      <c r="I793" s="527"/>
      <c r="J793" s="455"/>
      <c r="K793" s="455"/>
      <c r="L793" s="455"/>
      <c r="M793" s="455"/>
      <c r="N793" s="455"/>
      <c r="O793" s="455"/>
      <c r="P793" s="455"/>
      <c r="Q793" s="455"/>
      <c r="R793" s="455"/>
      <c r="S793" s="455"/>
      <c r="T793" s="455"/>
    </row>
    <row r="794" spans="1:20" ht="17.25" customHeight="1">
      <c r="A794" s="454"/>
      <c r="B794" s="454"/>
      <c r="C794" s="454"/>
      <c r="D794" s="454"/>
      <c r="E794" s="454"/>
      <c r="F794" s="454"/>
      <c r="G794" s="454"/>
      <c r="H794" s="454"/>
      <c r="I794" s="527"/>
      <c r="J794" s="455"/>
      <c r="K794" s="455"/>
      <c r="L794" s="455"/>
      <c r="M794" s="455"/>
      <c r="N794" s="455"/>
      <c r="O794" s="455"/>
      <c r="P794" s="455"/>
      <c r="Q794" s="455"/>
      <c r="R794" s="455"/>
      <c r="S794" s="455"/>
      <c r="T794" s="455"/>
    </row>
    <row r="795" spans="1:20" ht="17.25" customHeight="1">
      <c r="A795" s="454"/>
      <c r="B795" s="454"/>
      <c r="C795" s="454"/>
      <c r="D795" s="454"/>
      <c r="E795" s="454"/>
      <c r="F795" s="454"/>
      <c r="G795" s="454"/>
      <c r="H795" s="454"/>
      <c r="I795" s="527"/>
      <c r="J795" s="455"/>
      <c r="K795" s="455"/>
      <c r="L795" s="455"/>
      <c r="M795" s="455"/>
      <c r="N795" s="455"/>
      <c r="O795" s="455"/>
      <c r="P795" s="455"/>
      <c r="Q795" s="455"/>
      <c r="R795" s="455"/>
      <c r="S795" s="455"/>
      <c r="T795" s="455"/>
    </row>
    <row r="796" spans="1:20" ht="17.25" customHeight="1">
      <c r="A796" s="454"/>
      <c r="B796" s="454"/>
      <c r="C796" s="454"/>
      <c r="D796" s="454"/>
      <c r="E796" s="454"/>
      <c r="F796" s="454"/>
      <c r="G796" s="454"/>
      <c r="H796" s="454"/>
      <c r="I796" s="527"/>
      <c r="J796" s="455"/>
      <c r="K796" s="455"/>
      <c r="L796" s="455"/>
      <c r="M796" s="455"/>
      <c r="N796" s="455"/>
      <c r="O796" s="455"/>
      <c r="P796" s="455"/>
      <c r="Q796" s="455"/>
      <c r="R796" s="455"/>
      <c r="S796" s="455"/>
      <c r="T796" s="455"/>
    </row>
    <row r="797" spans="1:20" ht="17.25" customHeight="1">
      <c r="A797" s="454"/>
      <c r="B797" s="454"/>
      <c r="C797" s="454"/>
      <c r="D797" s="454"/>
      <c r="E797" s="454"/>
      <c r="F797" s="454"/>
      <c r="G797" s="454"/>
      <c r="H797" s="454"/>
      <c r="I797" s="527"/>
      <c r="J797" s="455"/>
      <c r="K797" s="455"/>
      <c r="L797" s="455"/>
      <c r="M797" s="455"/>
      <c r="N797" s="455"/>
      <c r="O797" s="455"/>
      <c r="P797" s="455"/>
      <c r="Q797" s="455"/>
      <c r="R797" s="455"/>
      <c r="S797" s="455"/>
      <c r="T797" s="455"/>
    </row>
    <row r="798" spans="1:20" ht="17.25" customHeight="1">
      <c r="A798" s="454"/>
      <c r="B798" s="454"/>
      <c r="C798" s="454"/>
      <c r="D798" s="454"/>
      <c r="E798" s="454"/>
      <c r="F798" s="454"/>
      <c r="G798" s="454"/>
      <c r="H798" s="454"/>
      <c r="I798" s="527"/>
      <c r="J798" s="455"/>
      <c r="K798" s="455"/>
      <c r="L798" s="455"/>
      <c r="M798" s="455"/>
      <c r="N798" s="455"/>
      <c r="O798" s="455"/>
      <c r="P798" s="455"/>
      <c r="Q798" s="455"/>
      <c r="R798" s="455"/>
      <c r="S798" s="455"/>
      <c r="T798" s="455"/>
    </row>
    <row r="799" spans="1:20" ht="17.25" customHeight="1">
      <c r="A799" s="454"/>
      <c r="B799" s="454"/>
      <c r="C799" s="454"/>
      <c r="D799" s="454"/>
      <c r="E799" s="454"/>
      <c r="F799" s="454"/>
      <c r="G799" s="454"/>
      <c r="H799" s="454"/>
      <c r="I799" s="527"/>
      <c r="J799" s="455"/>
      <c r="K799" s="455"/>
      <c r="L799" s="455"/>
      <c r="M799" s="455"/>
      <c r="N799" s="455"/>
      <c r="O799" s="455"/>
      <c r="P799" s="455"/>
      <c r="Q799" s="455"/>
      <c r="R799" s="455"/>
      <c r="S799" s="455"/>
      <c r="T799" s="455"/>
    </row>
    <row r="800" spans="1:20" ht="17.25" customHeight="1">
      <c r="A800" s="454"/>
      <c r="B800" s="454"/>
      <c r="C800" s="454"/>
      <c r="D800" s="454"/>
      <c r="E800" s="454"/>
      <c r="F800" s="454"/>
      <c r="G800" s="454"/>
      <c r="H800" s="454"/>
      <c r="I800" s="527"/>
      <c r="J800" s="455"/>
      <c r="K800" s="455"/>
      <c r="L800" s="455"/>
      <c r="M800" s="455"/>
      <c r="N800" s="455"/>
      <c r="O800" s="455"/>
      <c r="P800" s="455"/>
      <c r="Q800" s="455"/>
      <c r="R800" s="455"/>
      <c r="S800" s="455"/>
      <c r="T800" s="455"/>
    </row>
    <row r="801" spans="1:20" ht="17.25" customHeight="1">
      <c r="A801" s="454"/>
      <c r="B801" s="454"/>
      <c r="C801" s="454"/>
      <c r="D801" s="454"/>
      <c r="E801" s="454"/>
      <c r="F801" s="454"/>
      <c r="G801" s="454"/>
      <c r="H801" s="454"/>
      <c r="I801" s="527"/>
      <c r="J801" s="455"/>
      <c r="K801" s="455"/>
      <c r="L801" s="455"/>
      <c r="M801" s="455"/>
      <c r="N801" s="455"/>
      <c r="O801" s="455"/>
      <c r="P801" s="455"/>
      <c r="Q801" s="455"/>
      <c r="R801" s="455"/>
      <c r="S801" s="455"/>
      <c r="T801" s="455"/>
    </row>
    <row r="802" spans="1:20" ht="17.25" customHeight="1">
      <c r="A802" s="454"/>
      <c r="B802" s="454"/>
      <c r="C802" s="454"/>
      <c r="D802" s="454"/>
      <c r="E802" s="454"/>
      <c r="F802" s="454"/>
      <c r="G802" s="454"/>
      <c r="H802" s="454"/>
      <c r="I802" s="527"/>
      <c r="J802" s="455"/>
      <c r="K802" s="455"/>
      <c r="L802" s="455"/>
      <c r="M802" s="455"/>
      <c r="N802" s="455"/>
      <c r="O802" s="455"/>
      <c r="P802" s="455"/>
      <c r="Q802" s="455"/>
      <c r="R802" s="455"/>
      <c r="S802" s="455"/>
      <c r="T802" s="455"/>
    </row>
    <row r="803" spans="1:20" ht="17.25" customHeight="1">
      <c r="A803" s="454"/>
      <c r="B803" s="454"/>
      <c r="C803" s="454"/>
      <c r="D803" s="454"/>
      <c r="E803" s="454"/>
      <c r="F803" s="454"/>
      <c r="G803" s="454"/>
      <c r="H803" s="454"/>
      <c r="I803" s="527"/>
      <c r="J803" s="455"/>
      <c r="K803" s="455"/>
      <c r="L803" s="455"/>
      <c r="M803" s="455"/>
      <c r="N803" s="455"/>
      <c r="O803" s="455"/>
      <c r="P803" s="455"/>
      <c r="Q803" s="455"/>
      <c r="R803" s="455"/>
      <c r="S803" s="455"/>
      <c r="T803" s="455"/>
    </row>
    <row r="804" spans="1:20" ht="17.25" customHeight="1">
      <c r="A804" s="454"/>
      <c r="B804" s="454"/>
      <c r="C804" s="454"/>
      <c r="D804" s="454"/>
      <c r="E804" s="454"/>
      <c r="F804" s="454"/>
      <c r="G804" s="454"/>
      <c r="H804" s="454"/>
      <c r="I804" s="527"/>
      <c r="J804" s="455"/>
      <c r="K804" s="455"/>
      <c r="L804" s="455"/>
      <c r="M804" s="455"/>
      <c r="N804" s="455"/>
      <c r="O804" s="455"/>
      <c r="P804" s="455"/>
      <c r="Q804" s="455"/>
      <c r="R804" s="455"/>
      <c r="S804" s="455"/>
      <c r="T804" s="455"/>
    </row>
    <row r="805" spans="1:20" ht="17.25" customHeight="1">
      <c r="A805" s="454"/>
      <c r="B805" s="454"/>
      <c r="C805" s="454"/>
      <c r="D805" s="454"/>
      <c r="E805" s="454"/>
      <c r="F805" s="454"/>
      <c r="G805" s="454"/>
      <c r="H805" s="454"/>
      <c r="I805" s="527"/>
      <c r="J805" s="455"/>
      <c r="K805" s="455"/>
      <c r="L805" s="455"/>
      <c r="M805" s="455"/>
      <c r="N805" s="455"/>
      <c r="O805" s="455"/>
      <c r="P805" s="455"/>
      <c r="Q805" s="455"/>
      <c r="R805" s="455"/>
      <c r="S805" s="455"/>
      <c r="T805" s="455"/>
    </row>
    <row r="806" spans="1:20" ht="17.25" customHeight="1">
      <c r="A806" s="454"/>
      <c r="B806" s="454"/>
      <c r="C806" s="454"/>
      <c r="D806" s="454"/>
      <c r="E806" s="454"/>
      <c r="F806" s="454"/>
      <c r="G806" s="454"/>
      <c r="H806" s="454"/>
      <c r="I806" s="527"/>
      <c r="J806" s="455"/>
      <c r="K806" s="455"/>
      <c r="L806" s="455"/>
      <c r="M806" s="455"/>
      <c r="N806" s="455"/>
      <c r="O806" s="455"/>
      <c r="P806" s="455"/>
      <c r="Q806" s="455"/>
      <c r="R806" s="455"/>
      <c r="S806" s="455"/>
      <c r="T806" s="455"/>
    </row>
    <row r="807" spans="1:20" ht="17.25" customHeight="1">
      <c r="A807" s="454"/>
      <c r="B807" s="454"/>
      <c r="C807" s="454"/>
      <c r="D807" s="454"/>
      <c r="E807" s="454"/>
      <c r="F807" s="454"/>
      <c r="G807" s="454"/>
      <c r="H807" s="454"/>
      <c r="I807" s="527"/>
      <c r="J807" s="455"/>
      <c r="K807" s="455"/>
      <c r="L807" s="455"/>
      <c r="M807" s="455"/>
      <c r="N807" s="455"/>
      <c r="O807" s="455"/>
      <c r="P807" s="455"/>
      <c r="Q807" s="455"/>
      <c r="R807" s="455"/>
      <c r="S807" s="455"/>
      <c r="T807" s="455"/>
    </row>
    <row r="808" spans="1:20" ht="17.25" customHeight="1">
      <c r="A808" s="454"/>
      <c r="B808" s="454"/>
      <c r="C808" s="454"/>
      <c r="D808" s="454"/>
      <c r="E808" s="454"/>
      <c r="F808" s="454"/>
      <c r="G808" s="454"/>
      <c r="H808" s="454"/>
      <c r="I808" s="527"/>
      <c r="J808" s="455"/>
      <c r="K808" s="455"/>
      <c r="L808" s="455"/>
      <c r="M808" s="455"/>
      <c r="N808" s="455"/>
      <c r="O808" s="455"/>
      <c r="P808" s="455"/>
      <c r="Q808" s="455"/>
      <c r="R808" s="455"/>
      <c r="S808" s="455"/>
      <c r="T808" s="455"/>
    </row>
    <row r="809" spans="1:20" ht="17.25" customHeight="1">
      <c r="A809" s="454"/>
      <c r="B809" s="454"/>
      <c r="C809" s="454"/>
      <c r="D809" s="454"/>
      <c r="E809" s="454"/>
      <c r="F809" s="454"/>
      <c r="G809" s="454"/>
      <c r="H809" s="454"/>
      <c r="I809" s="527"/>
      <c r="J809" s="455"/>
      <c r="K809" s="455"/>
      <c r="L809" s="455"/>
      <c r="M809" s="455"/>
      <c r="N809" s="455"/>
      <c r="O809" s="455"/>
      <c r="P809" s="455"/>
      <c r="Q809" s="455"/>
      <c r="R809" s="455"/>
      <c r="S809" s="455"/>
      <c r="T809" s="455"/>
    </row>
    <row r="810" spans="1:20" ht="17.25" customHeight="1">
      <c r="A810" s="454"/>
      <c r="B810" s="454"/>
      <c r="C810" s="454"/>
      <c r="D810" s="454"/>
      <c r="E810" s="454"/>
      <c r="F810" s="454"/>
      <c r="G810" s="454"/>
      <c r="H810" s="454"/>
      <c r="I810" s="527"/>
      <c r="J810" s="455"/>
      <c r="K810" s="455"/>
      <c r="L810" s="455"/>
      <c r="M810" s="455"/>
      <c r="N810" s="455"/>
      <c r="O810" s="455"/>
      <c r="P810" s="455"/>
      <c r="Q810" s="455"/>
      <c r="R810" s="455"/>
      <c r="S810" s="455"/>
      <c r="T810" s="455"/>
    </row>
    <row r="811" spans="1:20" ht="17.25" customHeight="1">
      <c r="A811" s="454"/>
      <c r="B811" s="454"/>
      <c r="C811" s="454"/>
      <c r="D811" s="454"/>
      <c r="E811" s="454"/>
      <c r="F811" s="454"/>
      <c r="G811" s="454"/>
      <c r="H811" s="454"/>
      <c r="I811" s="527"/>
      <c r="J811" s="455"/>
      <c r="K811" s="455"/>
      <c r="L811" s="455"/>
      <c r="M811" s="455"/>
      <c r="N811" s="455"/>
      <c r="O811" s="455"/>
      <c r="P811" s="455"/>
      <c r="Q811" s="455"/>
      <c r="R811" s="455"/>
      <c r="S811" s="455"/>
      <c r="T811" s="455"/>
    </row>
    <row r="812" spans="1:20" ht="17.25" customHeight="1">
      <c r="A812" s="454"/>
      <c r="B812" s="454"/>
      <c r="C812" s="454"/>
      <c r="D812" s="454"/>
      <c r="E812" s="454"/>
      <c r="F812" s="454"/>
      <c r="G812" s="454"/>
      <c r="H812" s="454"/>
      <c r="I812" s="527"/>
      <c r="J812" s="455"/>
      <c r="K812" s="455"/>
      <c r="L812" s="455"/>
      <c r="M812" s="455"/>
      <c r="N812" s="455"/>
      <c r="O812" s="455"/>
      <c r="P812" s="455"/>
      <c r="Q812" s="455"/>
      <c r="R812" s="455"/>
      <c r="S812" s="455"/>
      <c r="T812" s="455"/>
    </row>
    <row r="813" spans="1:20" ht="17.25" customHeight="1">
      <c r="A813" s="454"/>
      <c r="B813" s="454"/>
      <c r="C813" s="454"/>
      <c r="D813" s="454"/>
      <c r="E813" s="454"/>
      <c r="F813" s="454"/>
      <c r="G813" s="454"/>
      <c r="H813" s="454"/>
      <c r="I813" s="527"/>
      <c r="J813" s="455"/>
      <c r="K813" s="455"/>
      <c r="L813" s="455"/>
      <c r="M813" s="455"/>
      <c r="N813" s="455"/>
      <c r="O813" s="455"/>
      <c r="P813" s="455"/>
      <c r="Q813" s="455"/>
      <c r="R813" s="455"/>
      <c r="S813" s="455"/>
      <c r="T813" s="455"/>
    </row>
    <row r="814" spans="1:20" ht="17.25" customHeight="1">
      <c r="A814" s="454"/>
      <c r="B814" s="454"/>
      <c r="C814" s="454"/>
      <c r="D814" s="454"/>
      <c r="E814" s="454"/>
      <c r="F814" s="454"/>
      <c r="G814" s="454"/>
      <c r="H814" s="454"/>
      <c r="I814" s="527"/>
      <c r="J814" s="455"/>
      <c r="K814" s="455"/>
      <c r="L814" s="455"/>
      <c r="M814" s="455"/>
      <c r="N814" s="455"/>
      <c r="O814" s="455"/>
      <c r="P814" s="455"/>
      <c r="Q814" s="455"/>
      <c r="R814" s="455"/>
      <c r="S814" s="455"/>
      <c r="T814" s="455"/>
    </row>
    <row r="815" spans="1:20" ht="17.25" customHeight="1">
      <c r="A815" s="454"/>
      <c r="B815" s="454"/>
      <c r="C815" s="454"/>
      <c r="D815" s="454"/>
      <c r="E815" s="454"/>
      <c r="F815" s="454"/>
      <c r="G815" s="454"/>
      <c r="H815" s="454"/>
      <c r="I815" s="527"/>
      <c r="J815" s="455"/>
      <c r="K815" s="455"/>
      <c r="L815" s="455"/>
      <c r="M815" s="455"/>
      <c r="N815" s="455"/>
      <c r="O815" s="455"/>
      <c r="P815" s="455"/>
      <c r="Q815" s="455"/>
      <c r="R815" s="455"/>
      <c r="S815" s="455"/>
      <c r="T815" s="455"/>
    </row>
    <row r="816" spans="1:20" ht="17.25" customHeight="1">
      <c r="A816" s="454"/>
      <c r="B816" s="454"/>
      <c r="C816" s="454"/>
      <c r="D816" s="454"/>
      <c r="E816" s="454"/>
      <c r="F816" s="454"/>
      <c r="G816" s="454"/>
      <c r="H816" s="454"/>
      <c r="I816" s="527"/>
      <c r="J816" s="455"/>
      <c r="K816" s="455"/>
      <c r="L816" s="455"/>
      <c r="M816" s="455"/>
      <c r="N816" s="455"/>
      <c r="O816" s="455"/>
      <c r="P816" s="455"/>
      <c r="Q816" s="455"/>
      <c r="R816" s="455"/>
      <c r="S816" s="455"/>
      <c r="T816" s="455"/>
    </row>
    <row r="817" spans="1:20" ht="17.25" customHeight="1">
      <c r="A817" s="454"/>
      <c r="B817" s="454"/>
      <c r="C817" s="454"/>
      <c r="D817" s="454"/>
      <c r="E817" s="454"/>
      <c r="F817" s="454"/>
      <c r="G817" s="454"/>
      <c r="H817" s="454"/>
      <c r="I817" s="527"/>
      <c r="J817" s="455"/>
      <c r="K817" s="455"/>
      <c r="L817" s="455"/>
      <c r="M817" s="455"/>
      <c r="N817" s="455"/>
      <c r="O817" s="455"/>
      <c r="P817" s="455"/>
      <c r="Q817" s="455"/>
      <c r="R817" s="455"/>
      <c r="S817" s="455"/>
      <c r="T817" s="455"/>
    </row>
    <row r="818" spans="1:20" ht="17.25" customHeight="1">
      <c r="A818" s="454"/>
      <c r="B818" s="454"/>
      <c r="C818" s="454"/>
      <c r="D818" s="454"/>
      <c r="E818" s="454"/>
      <c r="F818" s="454"/>
      <c r="G818" s="454"/>
      <c r="H818" s="454"/>
      <c r="I818" s="527"/>
      <c r="J818" s="455"/>
      <c r="K818" s="455"/>
      <c r="L818" s="455"/>
      <c r="M818" s="455"/>
      <c r="N818" s="455"/>
      <c r="O818" s="455"/>
      <c r="P818" s="455"/>
      <c r="Q818" s="455"/>
      <c r="R818" s="455"/>
      <c r="S818" s="455"/>
      <c r="T818" s="455"/>
    </row>
    <row r="819" spans="1:20" ht="17.25" customHeight="1">
      <c r="A819" s="454"/>
      <c r="B819" s="454"/>
      <c r="C819" s="454"/>
      <c r="D819" s="454"/>
      <c r="E819" s="454"/>
      <c r="F819" s="454"/>
      <c r="G819" s="454"/>
      <c r="H819" s="454"/>
      <c r="I819" s="527"/>
      <c r="J819" s="455"/>
      <c r="K819" s="455"/>
      <c r="L819" s="455"/>
      <c r="M819" s="455"/>
      <c r="N819" s="455"/>
      <c r="O819" s="455"/>
      <c r="P819" s="455"/>
      <c r="Q819" s="455"/>
      <c r="R819" s="455"/>
      <c r="S819" s="455"/>
      <c r="T819" s="455"/>
    </row>
    <row r="820" spans="1:20" ht="17.25" customHeight="1">
      <c r="A820" s="454"/>
      <c r="B820" s="454"/>
      <c r="C820" s="454"/>
      <c r="D820" s="454"/>
      <c r="E820" s="454"/>
      <c r="F820" s="454"/>
      <c r="G820" s="454"/>
      <c r="H820" s="454"/>
      <c r="I820" s="527"/>
      <c r="J820" s="455"/>
      <c r="K820" s="455"/>
      <c r="L820" s="455"/>
      <c r="M820" s="455"/>
      <c r="N820" s="455"/>
      <c r="O820" s="455"/>
      <c r="P820" s="455"/>
      <c r="Q820" s="455"/>
      <c r="R820" s="455"/>
      <c r="S820" s="455"/>
      <c r="T820" s="455"/>
    </row>
    <row r="821" spans="1:20" ht="17.25" customHeight="1">
      <c r="A821" s="454"/>
      <c r="B821" s="454"/>
      <c r="C821" s="454"/>
      <c r="D821" s="454"/>
      <c r="E821" s="454"/>
      <c r="F821" s="454"/>
      <c r="G821" s="454"/>
      <c r="H821" s="454"/>
      <c r="I821" s="527"/>
      <c r="J821" s="455"/>
      <c r="K821" s="455"/>
      <c r="L821" s="455"/>
      <c r="M821" s="455"/>
      <c r="N821" s="455"/>
      <c r="O821" s="455"/>
      <c r="P821" s="455"/>
      <c r="Q821" s="455"/>
      <c r="R821" s="455"/>
      <c r="S821" s="455"/>
      <c r="T821" s="455"/>
    </row>
    <row r="822" spans="1:20" ht="17.25" customHeight="1">
      <c r="A822" s="454"/>
      <c r="B822" s="454"/>
      <c r="C822" s="454"/>
      <c r="D822" s="454"/>
      <c r="E822" s="454"/>
      <c r="F822" s="454"/>
      <c r="G822" s="454"/>
      <c r="H822" s="454"/>
      <c r="I822" s="527"/>
      <c r="J822" s="455"/>
      <c r="K822" s="455"/>
      <c r="L822" s="455"/>
      <c r="M822" s="455"/>
      <c r="N822" s="455"/>
      <c r="O822" s="455"/>
      <c r="P822" s="455"/>
      <c r="Q822" s="455"/>
      <c r="R822" s="455"/>
      <c r="S822" s="455"/>
      <c r="T822" s="455"/>
    </row>
    <row r="823" spans="1:20" ht="17.25" customHeight="1">
      <c r="A823" s="454"/>
      <c r="B823" s="454"/>
      <c r="C823" s="454"/>
      <c r="D823" s="454"/>
      <c r="E823" s="454"/>
      <c r="F823" s="454"/>
      <c r="G823" s="454"/>
      <c r="H823" s="454"/>
      <c r="I823" s="527"/>
      <c r="J823" s="455"/>
      <c r="K823" s="455"/>
      <c r="L823" s="455"/>
      <c r="M823" s="455"/>
      <c r="N823" s="455"/>
      <c r="O823" s="455"/>
      <c r="P823" s="455"/>
      <c r="Q823" s="455"/>
      <c r="R823" s="455"/>
      <c r="S823" s="455"/>
      <c r="T823" s="455"/>
    </row>
    <row r="824" spans="1:20" ht="17.25" customHeight="1">
      <c r="A824" s="454"/>
      <c r="B824" s="454"/>
      <c r="C824" s="454"/>
      <c r="D824" s="454"/>
      <c r="E824" s="454"/>
      <c r="F824" s="454"/>
      <c r="G824" s="454"/>
      <c r="H824" s="454"/>
      <c r="I824" s="527"/>
      <c r="J824" s="455"/>
      <c r="K824" s="455"/>
      <c r="L824" s="455"/>
      <c r="M824" s="455"/>
      <c r="N824" s="455"/>
      <c r="O824" s="455"/>
      <c r="P824" s="455"/>
      <c r="Q824" s="455"/>
      <c r="R824" s="455"/>
      <c r="S824" s="455"/>
      <c r="T824" s="455"/>
    </row>
    <row r="825" spans="1:20" ht="17.25" customHeight="1">
      <c r="A825" s="454"/>
      <c r="B825" s="454"/>
      <c r="C825" s="454"/>
      <c r="D825" s="454"/>
      <c r="E825" s="454"/>
      <c r="F825" s="454"/>
      <c r="G825" s="454"/>
      <c r="H825" s="454"/>
      <c r="I825" s="527"/>
      <c r="J825" s="455"/>
      <c r="K825" s="455"/>
      <c r="L825" s="455"/>
      <c r="M825" s="455"/>
      <c r="N825" s="455"/>
      <c r="O825" s="455"/>
      <c r="P825" s="455"/>
      <c r="Q825" s="455"/>
      <c r="R825" s="455"/>
      <c r="S825" s="455"/>
      <c r="T825" s="455"/>
    </row>
    <row r="826" spans="1:20" ht="17.25" customHeight="1">
      <c r="A826" s="454"/>
      <c r="B826" s="454"/>
      <c r="C826" s="454"/>
      <c r="D826" s="454"/>
      <c r="E826" s="454"/>
      <c r="F826" s="454"/>
      <c r="G826" s="454"/>
      <c r="H826" s="454"/>
      <c r="I826" s="527"/>
      <c r="J826" s="455"/>
      <c r="K826" s="455"/>
      <c r="L826" s="455"/>
      <c r="M826" s="455"/>
      <c r="N826" s="455"/>
      <c r="O826" s="455"/>
      <c r="P826" s="455"/>
      <c r="Q826" s="455"/>
      <c r="R826" s="455"/>
      <c r="S826" s="455"/>
      <c r="T826" s="455"/>
    </row>
    <row r="827" spans="1:20" ht="17.25" customHeight="1">
      <c r="A827" s="454"/>
      <c r="B827" s="454"/>
      <c r="C827" s="454"/>
      <c r="D827" s="454"/>
      <c r="E827" s="454"/>
      <c r="F827" s="454"/>
      <c r="G827" s="454"/>
      <c r="H827" s="454"/>
      <c r="I827" s="527"/>
      <c r="J827" s="455"/>
      <c r="K827" s="455"/>
      <c r="L827" s="455"/>
      <c r="M827" s="455"/>
      <c r="N827" s="455"/>
      <c r="O827" s="455"/>
      <c r="P827" s="455"/>
      <c r="Q827" s="455"/>
      <c r="R827" s="455"/>
      <c r="S827" s="455"/>
      <c r="T827" s="455"/>
    </row>
    <row r="828" spans="1:20" ht="17.25" customHeight="1">
      <c r="A828" s="454"/>
      <c r="B828" s="454"/>
      <c r="C828" s="454"/>
      <c r="D828" s="454"/>
      <c r="E828" s="454"/>
      <c r="F828" s="454"/>
      <c r="G828" s="454"/>
      <c r="H828" s="454"/>
      <c r="I828" s="527"/>
      <c r="J828" s="455"/>
      <c r="K828" s="455"/>
      <c r="L828" s="455"/>
      <c r="M828" s="455"/>
      <c r="N828" s="455"/>
      <c r="O828" s="455"/>
      <c r="P828" s="455"/>
      <c r="Q828" s="455"/>
      <c r="R828" s="455"/>
      <c r="S828" s="455"/>
      <c r="T828" s="455"/>
    </row>
    <row r="829" spans="1:20" ht="17.25" customHeight="1">
      <c r="A829" s="454"/>
      <c r="B829" s="454"/>
      <c r="C829" s="454"/>
      <c r="D829" s="454"/>
      <c r="E829" s="454"/>
      <c r="F829" s="454"/>
      <c r="G829" s="454"/>
      <c r="H829" s="454"/>
      <c r="I829" s="527"/>
      <c r="J829" s="455"/>
      <c r="K829" s="455"/>
      <c r="L829" s="455"/>
      <c r="M829" s="455"/>
      <c r="N829" s="455"/>
      <c r="O829" s="455"/>
      <c r="P829" s="455"/>
      <c r="Q829" s="455"/>
      <c r="R829" s="455"/>
      <c r="S829" s="455"/>
      <c r="T829" s="455"/>
    </row>
    <row r="830" spans="1:20" ht="17.25" customHeight="1">
      <c r="A830" s="454"/>
      <c r="B830" s="454"/>
      <c r="C830" s="454"/>
      <c r="D830" s="454"/>
      <c r="E830" s="454"/>
      <c r="F830" s="454"/>
      <c r="G830" s="454"/>
      <c r="H830" s="454"/>
      <c r="I830" s="527"/>
      <c r="J830" s="455"/>
      <c r="K830" s="455"/>
      <c r="L830" s="455"/>
      <c r="M830" s="455"/>
      <c r="N830" s="455"/>
      <c r="O830" s="455"/>
      <c r="P830" s="455"/>
      <c r="Q830" s="455"/>
      <c r="R830" s="455"/>
      <c r="S830" s="455"/>
      <c r="T830" s="455"/>
    </row>
    <row r="831" spans="1:20" ht="17.25" customHeight="1">
      <c r="A831" s="454"/>
      <c r="B831" s="454"/>
      <c r="C831" s="454"/>
      <c r="D831" s="454"/>
      <c r="E831" s="454"/>
      <c r="F831" s="454"/>
      <c r="G831" s="454"/>
      <c r="H831" s="454"/>
      <c r="I831" s="527"/>
      <c r="J831" s="455"/>
      <c r="K831" s="455"/>
      <c r="L831" s="455"/>
      <c r="M831" s="455"/>
      <c r="N831" s="455"/>
      <c r="O831" s="455"/>
      <c r="P831" s="455"/>
      <c r="Q831" s="455"/>
      <c r="R831" s="455"/>
      <c r="S831" s="455"/>
      <c r="T831" s="455"/>
    </row>
    <row r="832" spans="1:20" ht="17.25" customHeight="1">
      <c r="A832" s="454"/>
      <c r="B832" s="454"/>
      <c r="C832" s="454"/>
      <c r="D832" s="454"/>
      <c r="E832" s="454"/>
      <c r="F832" s="454"/>
      <c r="G832" s="454"/>
      <c r="H832" s="454"/>
      <c r="I832" s="527"/>
      <c r="J832" s="455"/>
      <c r="K832" s="455"/>
      <c r="L832" s="455"/>
      <c r="M832" s="455"/>
      <c r="N832" s="455"/>
      <c r="O832" s="455"/>
      <c r="P832" s="455"/>
      <c r="Q832" s="455"/>
      <c r="R832" s="455"/>
      <c r="S832" s="455"/>
      <c r="T832" s="455"/>
    </row>
    <row r="833" spans="1:20" ht="17.25" customHeight="1">
      <c r="A833" s="454"/>
      <c r="B833" s="454"/>
      <c r="C833" s="454"/>
      <c r="D833" s="454"/>
      <c r="E833" s="454"/>
      <c r="F833" s="454"/>
      <c r="G833" s="454"/>
      <c r="H833" s="454"/>
      <c r="I833" s="527"/>
      <c r="J833" s="455"/>
      <c r="K833" s="455"/>
      <c r="L833" s="455"/>
      <c r="M833" s="455"/>
      <c r="N833" s="455"/>
      <c r="O833" s="455"/>
      <c r="P833" s="455"/>
      <c r="Q833" s="455"/>
      <c r="R833" s="455"/>
      <c r="S833" s="455"/>
      <c r="T833" s="455"/>
    </row>
    <row r="834" spans="1:20" ht="17.25" customHeight="1">
      <c r="A834" s="454"/>
      <c r="B834" s="454"/>
      <c r="C834" s="454"/>
      <c r="D834" s="454"/>
      <c r="E834" s="454"/>
      <c r="F834" s="454"/>
      <c r="G834" s="454"/>
      <c r="H834" s="454"/>
      <c r="I834" s="527"/>
      <c r="J834" s="455"/>
      <c r="K834" s="455"/>
      <c r="L834" s="455"/>
      <c r="M834" s="455"/>
      <c r="N834" s="455"/>
      <c r="O834" s="455"/>
      <c r="P834" s="455"/>
      <c r="Q834" s="455"/>
      <c r="R834" s="455"/>
      <c r="S834" s="455"/>
      <c r="T834" s="455"/>
    </row>
    <row r="835" spans="1:20" ht="17.25" customHeight="1">
      <c r="A835" s="454"/>
      <c r="B835" s="454"/>
      <c r="C835" s="454"/>
      <c r="D835" s="454"/>
      <c r="E835" s="454"/>
      <c r="F835" s="454"/>
      <c r="G835" s="454"/>
      <c r="H835" s="454"/>
      <c r="I835" s="527"/>
      <c r="J835" s="455"/>
      <c r="K835" s="455"/>
      <c r="L835" s="455"/>
      <c r="M835" s="455"/>
      <c r="N835" s="455"/>
      <c r="O835" s="455"/>
      <c r="P835" s="455"/>
      <c r="Q835" s="455"/>
      <c r="R835" s="455"/>
      <c r="S835" s="455"/>
      <c r="T835" s="455"/>
    </row>
    <row r="836" spans="1:20" ht="17.25" customHeight="1">
      <c r="A836" s="454"/>
      <c r="B836" s="454"/>
      <c r="C836" s="454"/>
      <c r="D836" s="454"/>
      <c r="E836" s="454"/>
      <c r="F836" s="454"/>
      <c r="G836" s="454"/>
      <c r="H836" s="454"/>
      <c r="I836" s="527"/>
      <c r="J836" s="455"/>
      <c r="K836" s="455"/>
      <c r="L836" s="455"/>
      <c r="M836" s="455"/>
      <c r="N836" s="455"/>
      <c r="O836" s="455"/>
      <c r="P836" s="455"/>
      <c r="Q836" s="455"/>
      <c r="R836" s="455"/>
      <c r="S836" s="455"/>
      <c r="T836" s="455"/>
    </row>
    <row r="837" spans="1:20" ht="17.25" customHeight="1">
      <c r="A837" s="454"/>
      <c r="B837" s="454"/>
      <c r="C837" s="454"/>
      <c r="D837" s="454"/>
      <c r="E837" s="454"/>
      <c r="F837" s="454"/>
      <c r="G837" s="454"/>
      <c r="H837" s="454"/>
      <c r="I837" s="527"/>
      <c r="J837" s="455"/>
      <c r="K837" s="455"/>
      <c r="L837" s="455"/>
      <c r="M837" s="455"/>
      <c r="N837" s="455"/>
      <c r="O837" s="455"/>
      <c r="P837" s="455"/>
      <c r="Q837" s="455"/>
      <c r="R837" s="455"/>
      <c r="S837" s="455"/>
      <c r="T837" s="455"/>
    </row>
    <row r="838" spans="1:20" ht="17.25" customHeight="1">
      <c r="A838" s="454"/>
      <c r="B838" s="454"/>
      <c r="C838" s="454"/>
      <c r="D838" s="454"/>
      <c r="E838" s="454"/>
      <c r="F838" s="454"/>
      <c r="G838" s="454"/>
      <c r="H838" s="454"/>
      <c r="I838" s="527"/>
      <c r="J838" s="455"/>
      <c r="K838" s="455"/>
      <c r="L838" s="455"/>
      <c r="M838" s="455"/>
      <c r="N838" s="455"/>
      <c r="O838" s="455"/>
      <c r="P838" s="455"/>
      <c r="Q838" s="455"/>
      <c r="R838" s="455"/>
      <c r="S838" s="455"/>
      <c r="T838" s="455"/>
    </row>
    <row r="839" spans="1:20" ht="17.25" customHeight="1">
      <c r="A839" s="454"/>
      <c r="B839" s="454"/>
      <c r="C839" s="454"/>
      <c r="D839" s="454"/>
      <c r="E839" s="454"/>
      <c r="F839" s="454"/>
      <c r="G839" s="454"/>
      <c r="H839" s="454"/>
      <c r="I839" s="527"/>
      <c r="J839" s="455"/>
      <c r="K839" s="455"/>
      <c r="L839" s="455"/>
      <c r="M839" s="455"/>
      <c r="N839" s="455"/>
      <c r="O839" s="455"/>
      <c r="P839" s="455"/>
      <c r="Q839" s="455"/>
      <c r="R839" s="455"/>
      <c r="S839" s="455"/>
      <c r="T839" s="455"/>
    </row>
    <row r="840" spans="1:20" ht="17.25" customHeight="1">
      <c r="A840" s="454"/>
      <c r="B840" s="454"/>
      <c r="C840" s="454"/>
      <c r="D840" s="454"/>
      <c r="E840" s="454"/>
      <c r="F840" s="454"/>
      <c r="G840" s="454"/>
      <c r="H840" s="454"/>
      <c r="I840" s="527"/>
      <c r="J840" s="455"/>
      <c r="K840" s="455"/>
      <c r="L840" s="455"/>
      <c r="M840" s="455"/>
      <c r="N840" s="455"/>
      <c r="O840" s="455"/>
      <c r="P840" s="455"/>
      <c r="Q840" s="455"/>
      <c r="R840" s="455"/>
      <c r="S840" s="455"/>
      <c r="T840" s="455"/>
    </row>
    <row r="841" spans="1:20" ht="17.25" customHeight="1">
      <c r="A841" s="454"/>
      <c r="B841" s="454"/>
      <c r="C841" s="454"/>
      <c r="D841" s="454"/>
      <c r="E841" s="454"/>
      <c r="F841" s="454"/>
      <c r="G841" s="454"/>
      <c r="H841" s="454"/>
      <c r="I841" s="527"/>
      <c r="J841" s="455"/>
      <c r="K841" s="455"/>
      <c r="L841" s="455"/>
      <c r="M841" s="455"/>
      <c r="N841" s="455"/>
      <c r="O841" s="455"/>
      <c r="P841" s="455"/>
      <c r="Q841" s="455"/>
      <c r="R841" s="455"/>
      <c r="S841" s="455"/>
      <c r="T841" s="455"/>
    </row>
    <row r="842" spans="1:20" ht="17.25" customHeight="1">
      <c r="A842" s="454"/>
      <c r="B842" s="454"/>
      <c r="C842" s="454"/>
      <c r="D842" s="454"/>
      <c r="E842" s="454"/>
      <c r="F842" s="454"/>
      <c r="G842" s="454"/>
      <c r="H842" s="454"/>
      <c r="I842" s="527"/>
      <c r="J842" s="455"/>
      <c r="K842" s="455"/>
      <c r="L842" s="455"/>
      <c r="M842" s="455"/>
      <c r="N842" s="455"/>
      <c r="O842" s="455"/>
      <c r="P842" s="455"/>
      <c r="Q842" s="455"/>
      <c r="R842" s="455"/>
      <c r="S842" s="455"/>
      <c r="T842" s="455"/>
    </row>
    <row r="843" spans="1:20" ht="17.25" customHeight="1">
      <c r="A843" s="454"/>
      <c r="B843" s="454"/>
      <c r="C843" s="454"/>
      <c r="D843" s="454"/>
      <c r="E843" s="454"/>
      <c r="F843" s="454"/>
      <c r="G843" s="454"/>
      <c r="H843" s="454"/>
      <c r="I843" s="527"/>
      <c r="J843" s="455"/>
      <c r="K843" s="455"/>
      <c r="L843" s="455"/>
      <c r="M843" s="455"/>
      <c r="N843" s="455"/>
      <c r="O843" s="455"/>
      <c r="P843" s="455"/>
      <c r="Q843" s="455"/>
      <c r="R843" s="455"/>
      <c r="S843" s="455"/>
      <c r="T843" s="455"/>
    </row>
    <row r="844" spans="1:20" ht="17.25" customHeight="1">
      <c r="A844" s="454"/>
      <c r="B844" s="454"/>
      <c r="C844" s="454"/>
      <c r="D844" s="454"/>
      <c r="E844" s="454"/>
      <c r="F844" s="454"/>
      <c r="G844" s="454"/>
      <c r="H844" s="454"/>
      <c r="I844" s="527"/>
      <c r="J844" s="455"/>
      <c r="K844" s="455"/>
      <c r="L844" s="455"/>
      <c r="M844" s="455"/>
      <c r="N844" s="455"/>
      <c r="O844" s="455"/>
      <c r="P844" s="455"/>
      <c r="Q844" s="455"/>
      <c r="R844" s="455"/>
      <c r="S844" s="455"/>
      <c r="T844" s="455"/>
    </row>
    <row r="845" spans="1:20" ht="17.25" customHeight="1">
      <c r="A845" s="454"/>
      <c r="B845" s="454"/>
      <c r="C845" s="454"/>
      <c r="D845" s="454"/>
      <c r="E845" s="454"/>
      <c r="F845" s="454"/>
      <c r="G845" s="454"/>
      <c r="H845" s="454"/>
      <c r="I845" s="527"/>
      <c r="J845" s="455"/>
      <c r="K845" s="455"/>
      <c r="L845" s="455"/>
      <c r="M845" s="455"/>
      <c r="N845" s="455"/>
      <c r="O845" s="455"/>
      <c r="P845" s="455"/>
      <c r="Q845" s="455"/>
      <c r="R845" s="455"/>
      <c r="S845" s="455"/>
      <c r="T845" s="455"/>
    </row>
    <row r="846" spans="1:20" ht="17.25" customHeight="1">
      <c r="A846" s="454"/>
      <c r="B846" s="454"/>
      <c r="C846" s="454"/>
      <c r="D846" s="454"/>
      <c r="E846" s="454"/>
      <c r="F846" s="454"/>
      <c r="G846" s="454"/>
      <c r="H846" s="454"/>
      <c r="I846" s="527"/>
      <c r="J846" s="455"/>
      <c r="K846" s="455"/>
      <c r="L846" s="455"/>
      <c r="M846" s="455"/>
      <c r="N846" s="455"/>
      <c r="O846" s="455"/>
      <c r="P846" s="455"/>
      <c r="Q846" s="455"/>
      <c r="R846" s="455"/>
      <c r="S846" s="455"/>
      <c r="T846" s="455"/>
    </row>
    <row r="847" spans="1:20" ht="17.25" customHeight="1">
      <c r="A847" s="454"/>
      <c r="B847" s="454"/>
      <c r="C847" s="454"/>
      <c r="D847" s="454"/>
      <c r="E847" s="454"/>
      <c r="F847" s="454"/>
      <c r="G847" s="454"/>
      <c r="H847" s="454"/>
      <c r="I847" s="527"/>
      <c r="J847" s="455"/>
      <c r="K847" s="455"/>
      <c r="L847" s="455"/>
      <c r="M847" s="455"/>
      <c r="N847" s="455"/>
      <c r="O847" s="455"/>
      <c r="P847" s="455"/>
      <c r="Q847" s="455"/>
      <c r="R847" s="455"/>
      <c r="S847" s="455"/>
      <c r="T847" s="455"/>
    </row>
    <row r="848" spans="1:20" ht="17.25" customHeight="1">
      <c r="A848" s="454"/>
      <c r="B848" s="454"/>
      <c r="C848" s="454"/>
      <c r="D848" s="454"/>
      <c r="E848" s="454"/>
      <c r="F848" s="454"/>
      <c r="G848" s="454"/>
      <c r="H848" s="454"/>
      <c r="I848" s="527"/>
      <c r="J848" s="455"/>
      <c r="K848" s="455"/>
      <c r="L848" s="455"/>
      <c r="M848" s="455"/>
      <c r="N848" s="455"/>
      <c r="O848" s="455"/>
      <c r="P848" s="455"/>
      <c r="Q848" s="455"/>
      <c r="R848" s="455"/>
      <c r="S848" s="455"/>
      <c r="T848" s="455"/>
    </row>
    <row r="849" spans="1:20" ht="17.25" customHeight="1">
      <c r="A849" s="454"/>
      <c r="B849" s="454"/>
      <c r="C849" s="454"/>
      <c r="D849" s="454"/>
      <c r="E849" s="454"/>
      <c r="F849" s="454"/>
      <c r="G849" s="454"/>
      <c r="H849" s="454"/>
      <c r="I849" s="527"/>
      <c r="J849" s="455"/>
      <c r="K849" s="455"/>
      <c r="L849" s="455"/>
      <c r="M849" s="455"/>
      <c r="N849" s="455"/>
      <c r="O849" s="455"/>
      <c r="P849" s="455"/>
      <c r="Q849" s="455"/>
      <c r="R849" s="455"/>
      <c r="S849" s="455"/>
      <c r="T849" s="455"/>
    </row>
    <row r="850" spans="1:20" ht="17.25" customHeight="1">
      <c r="A850" s="454"/>
      <c r="B850" s="454"/>
      <c r="C850" s="454"/>
      <c r="D850" s="454"/>
      <c r="E850" s="454"/>
      <c r="F850" s="454"/>
      <c r="G850" s="454"/>
      <c r="H850" s="454"/>
      <c r="I850" s="527"/>
      <c r="J850" s="455"/>
      <c r="K850" s="455"/>
      <c r="L850" s="455"/>
      <c r="M850" s="455"/>
      <c r="N850" s="455"/>
      <c r="O850" s="455"/>
      <c r="P850" s="455"/>
      <c r="Q850" s="455"/>
      <c r="R850" s="455"/>
      <c r="S850" s="455"/>
      <c r="T850" s="455"/>
    </row>
    <row r="851" spans="1:20" ht="17.25" customHeight="1">
      <c r="A851" s="454"/>
      <c r="B851" s="454"/>
      <c r="C851" s="454"/>
      <c r="D851" s="454"/>
      <c r="E851" s="454"/>
      <c r="F851" s="454"/>
      <c r="G851" s="454"/>
      <c r="H851" s="454"/>
      <c r="I851" s="527"/>
      <c r="J851" s="455"/>
      <c r="K851" s="455"/>
      <c r="L851" s="455"/>
      <c r="M851" s="455"/>
      <c r="N851" s="455"/>
      <c r="O851" s="455"/>
      <c r="P851" s="455"/>
      <c r="Q851" s="455"/>
      <c r="R851" s="455"/>
      <c r="S851" s="455"/>
      <c r="T851" s="455"/>
    </row>
    <row r="852" spans="1:20" ht="17.25" customHeight="1">
      <c r="A852" s="454"/>
      <c r="B852" s="454"/>
      <c r="C852" s="454"/>
      <c r="D852" s="454"/>
      <c r="E852" s="454"/>
      <c r="F852" s="454"/>
      <c r="G852" s="454"/>
      <c r="H852" s="454"/>
      <c r="I852" s="527"/>
      <c r="J852" s="455"/>
      <c r="K852" s="455"/>
      <c r="L852" s="455"/>
      <c r="M852" s="455"/>
      <c r="N852" s="455"/>
      <c r="O852" s="455"/>
      <c r="P852" s="455"/>
      <c r="Q852" s="455"/>
      <c r="R852" s="455"/>
      <c r="S852" s="455"/>
      <c r="T852" s="455"/>
    </row>
    <row r="853" spans="1:20" ht="17.25" customHeight="1">
      <c r="A853" s="454"/>
      <c r="B853" s="454"/>
      <c r="C853" s="454"/>
      <c r="D853" s="454"/>
      <c r="E853" s="454"/>
      <c r="F853" s="454"/>
      <c r="G853" s="454"/>
      <c r="H853" s="454"/>
      <c r="I853" s="527"/>
      <c r="J853" s="455"/>
      <c r="K853" s="455"/>
      <c r="L853" s="455"/>
      <c r="M853" s="455"/>
      <c r="N853" s="455"/>
      <c r="O853" s="455"/>
      <c r="P853" s="455"/>
      <c r="Q853" s="455"/>
      <c r="R853" s="455"/>
      <c r="S853" s="455"/>
      <c r="T853" s="455"/>
    </row>
    <row r="854" spans="1:20" ht="17.25" customHeight="1">
      <c r="A854" s="454"/>
      <c r="B854" s="454"/>
      <c r="C854" s="454"/>
      <c r="D854" s="454"/>
      <c r="E854" s="454"/>
      <c r="F854" s="454"/>
      <c r="G854" s="454"/>
      <c r="H854" s="454"/>
      <c r="I854" s="527"/>
      <c r="J854" s="455"/>
      <c r="K854" s="455"/>
      <c r="L854" s="455"/>
      <c r="M854" s="455"/>
      <c r="N854" s="455"/>
      <c r="O854" s="455"/>
      <c r="P854" s="455"/>
      <c r="Q854" s="455"/>
      <c r="R854" s="455"/>
      <c r="S854" s="455"/>
      <c r="T854" s="455"/>
    </row>
    <row r="855" spans="1:20" ht="17.25" customHeight="1">
      <c r="A855" s="454"/>
      <c r="B855" s="454"/>
      <c r="C855" s="454"/>
      <c r="D855" s="454"/>
      <c r="E855" s="454"/>
      <c r="F855" s="454"/>
      <c r="G855" s="454"/>
      <c r="H855" s="454"/>
      <c r="I855" s="527"/>
      <c r="J855" s="455"/>
      <c r="K855" s="455"/>
      <c r="L855" s="455"/>
      <c r="M855" s="455"/>
      <c r="N855" s="455"/>
      <c r="O855" s="455"/>
      <c r="P855" s="455"/>
      <c r="Q855" s="455"/>
      <c r="R855" s="455"/>
      <c r="S855" s="455"/>
      <c r="T855" s="455"/>
    </row>
    <row r="856" spans="1:20" ht="17.25" customHeight="1">
      <c r="A856" s="454"/>
      <c r="B856" s="454"/>
      <c r="C856" s="454"/>
      <c r="D856" s="454"/>
      <c r="E856" s="454"/>
      <c r="F856" s="454"/>
      <c r="G856" s="454"/>
      <c r="H856" s="454"/>
      <c r="I856" s="527"/>
      <c r="J856" s="455"/>
      <c r="K856" s="455"/>
      <c r="L856" s="455"/>
      <c r="M856" s="455"/>
      <c r="N856" s="455"/>
      <c r="O856" s="455"/>
      <c r="P856" s="455"/>
      <c r="Q856" s="455"/>
      <c r="R856" s="455"/>
      <c r="S856" s="455"/>
      <c r="T856" s="455"/>
    </row>
    <row r="857" spans="1:20" ht="17.25" customHeight="1">
      <c r="A857" s="454"/>
      <c r="B857" s="454"/>
      <c r="C857" s="454"/>
      <c r="D857" s="454"/>
      <c r="E857" s="454"/>
      <c r="F857" s="454"/>
      <c r="G857" s="454"/>
      <c r="H857" s="454"/>
      <c r="I857" s="527"/>
      <c r="J857" s="455"/>
      <c r="K857" s="455"/>
      <c r="L857" s="455"/>
      <c r="M857" s="455"/>
      <c r="N857" s="455"/>
      <c r="O857" s="455"/>
      <c r="P857" s="455"/>
      <c r="Q857" s="455"/>
      <c r="R857" s="455"/>
      <c r="S857" s="455"/>
      <c r="T857" s="455"/>
    </row>
    <row r="858" spans="1:20" ht="17.25" customHeight="1">
      <c r="A858" s="454"/>
      <c r="B858" s="454"/>
      <c r="C858" s="454"/>
      <c r="D858" s="454"/>
      <c r="E858" s="454"/>
      <c r="F858" s="454"/>
      <c r="G858" s="454"/>
      <c r="H858" s="454"/>
      <c r="I858" s="527"/>
      <c r="J858" s="455"/>
      <c r="K858" s="455"/>
      <c r="L858" s="455"/>
      <c r="M858" s="455"/>
      <c r="N858" s="455"/>
      <c r="O858" s="455"/>
      <c r="P858" s="455"/>
      <c r="Q858" s="455"/>
      <c r="R858" s="455"/>
      <c r="S858" s="455"/>
      <c r="T858" s="455"/>
    </row>
    <row r="859" spans="1:20" ht="17.25" customHeight="1">
      <c r="A859" s="454"/>
      <c r="B859" s="454"/>
      <c r="C859" s="454"/>
      <c r="D859" s="454"/>
      <c r="E859" s="454"/>
      <c r="F859" s="454"/>
      <c r="G859" s="454"/>
      <c r="H859" s="454"/>
      <c r="I859" s="527"/>
      <c r="J859" s="455"/>
      <c r="K859" s="455"/>
      <c r="L859" s="455"/>
      <c r="M859" s="455"/>
      <c r="N859" s="455"/>
      <c r="O859" s="455"/>
      <c r="P859" s="455"/>
      <c r="Q859" s="455"/>
      <c r="R859" s="455"/>
      <c r="S859" s="455"/>
      <c r="T859" s="455"/>
    </row>
    <row r="860" spans="1:20" ht="17.25" customHeight="1">
      <c r="A860" s="454"/>
      <c r="B860" s="454"/>
      <c r="C860" s="454"/>
      <c r="D860" s="454"/>
      <c r="E860" s="454"/>
      <c r="F860" s="454"/>
      <c r="G860" s="454"/>
      <c r="H860" s="454"/>
      <c r="I860" s="527"/>
      <c r="J860" s="455"/>
      <c r="K860" s="455"/>
      <c r="L860" s="455"/>
      <c r="M860" s="455"/>
      <c r="N860" s="455"/>
      <c r="O860" s="455"/>
      <c r="P860" s="455"/>
      <c r="Q860" s="455"/>
      <c r="R860" s="455"/>
      <c r="S860" s="455"/>
      <c r="T860" s="455"/>
    </row>
    <row r="861" spans="1:20" ht="17.25" customHeight="1">
      <c r="A861" s="454"/>
      <c r="B861" s="454"/>
      <c r="C861" s="454"/>
      <c r="D861" s="454"/>
      <c r="E861" s="454"/>
      <c r="F861" s="454"/>
      <c r="G861" s="454"/>
      <c r="H861" s="454"/>
      <c r="I861" s="527"/>
      <c r="J861" s="455"/>
      <c r="K861" s="455"/>
      <c r="L861" s="455"/>
      <c r="M861" s="455"/>
      <c r="N861" s="455"/>
      <c r="O861" s="455"/>
      <c r="P861" s="455"/>
      <c r="Q861" s="455"/>
      <c r="R861" s="455"/>
      <c r="S861" s="455"/>
      <c r="T861" s="455"/>
    </row>
    <row r="862" spans="1:20" ht="17.25" customHeight="1">
      <c r="A862" s="454"/>
      <c r="B862" s="454"/>
      <c r="C862" s="454"/>
      <c r="D862" s="454"/>
      <c r="E862" s="454"/>
      <c r="F862" s="454"/>
      <c r="G862" s="454"/>
      <c r="H862" s="454"/>
      <c r="I862" s="527"/>
      <c r="J862" s="455"/>
      <c r="K862" s="455"/>
      <c r="L862" s="455"/>
      <c r="M862" s="455"/>
      <c r="N862" s="455"/>
      <c r="O862" s="455"/>
      <c r="P862" s="455"/>
      <c r="Q862" s="455"/>
      <c r="R862" s="455"/>
      <c r="S862" s="455"/>
      <c r="T862" s="455"/>
    </row>
    <row r="863" spans="1:20" ht="17.25" customHeight="1">
      <c r="A863" s="454"/>
      <c r="B863" s="454"/>
      <c r="C863" s="454"/>
      <c r="D863" s="454"/>
      <c r="E863" s="454"/>
      <c r="F863" s="454"/>
      <c r="G863" s="454"/>
      <c r="H863" s="454"/>
      <c r="I863" s="527"/>
      <c r="J863" s="455"/>
      <c r="K863" s="455"/>
      <c r="L863" s="455"/>
      <c r="M863" s="455"/>
      <c r="N863" s="455"/>
      <c r="O863" s="455"/>
      <c r="P863" s="455"/>
      <c r="Q863" s="455"/>
      <c r="R863" s="455"/>
      <c r="S863" s="455"/>
      <c r="T863" s="455"/>
    </row>
    <row r="864" spans="1:20" ht="17.25" customHeight="1">
      <c r="A864" s="454"/>
      <c r="B864" s="454"/>
      <c r="C864" s="454"/>
      <c r="D864" s="454"/>
      <c r="E864" s="454"/>
      <c r="F864" s="454"/>
      <c r="G864" s="454"/>
      <c r="H864" s="454"/>
      <c r="I864" s="527"/>
      <c r="J864" s="455"/>
      <c r="K864" s="455"/>
      <c r="L864" s="455"/>
      <c r="M864" s="455"/>
      <c r="N864" s="455"/>
      <c r="O864" s="455"/>
      <c r="P864" s="455"/>
      <c r="Q864" s="455"/>
      <c r="R864" s="455"/>
      <c r="S864" s="455"/>
      <c r="T864" s="455"/>
    </row>
    <row r="865" spans="1:20" ht="17.25" customHeight="1">
      <c r="A865" s="454"/>
      <c r="B865" s="454"/>
      <c r="C865" s="454"/>
      <c r="D865" s="454"/>
      <c r="E865" s="454"/>
      <c r="F865" s="454"/>
      <c r="G865" s="454"/>
      <c r="H865" s="454"/>
      <c r="I865" s="527"/>
      <c r="J865" s="455"/>
      <c r="K865" s="455"/>
      <c r="L865" s="455"/>
      <c r="M865" s="455"/>
      <c r="N865" s="455"/>
      <c r="O865" s="455"/>
      <c r="P865" s="455"/>
      <c r="Q865" s="455"/>
      <c r="R865" s="455"/>
      <c r="S865" s="455"/>
      <c r="T865" s="455"/>
    </row>
    <row r="866" spans="1:20" ht="17.25" customHeight="1">
      <c r="A866" s="454"/>
      <c r="B866" s="454"/>
      <c r="C866" s="454"/>
      <c r="D866" s="454"/>
      <c r="E866" s="454"/>
      <c r="F866" s="454"/>
      <c r="G866" s="454"/>
      <c r="H866" s="454"/>
      <c r="I866" s="527"/>
      <c r="J866" s="455"/>
      <c r="K866" s="455"/>
      <c r="L866" s="455"/>
      <c r="M866" s="455"/>
      <c r="N866" s="455"/>
      <c r="O866" s="455"/>
      <c r="P866" s="455"/>
      <c r="Q866" s="455"/>
      <c r="R866" s="455"/>
      <c r="S866" s="455"/>
      <c r="T866" s="455"/>
    </row>
    <row r="867" spans="1:20" ht="17.25" customHeight="1">
      <c r="A867" s="454"/>
      <c r="B867" s="454"/>
      <c r="C867" s="454"/>
      <c r="D867" s="454"/>
      <c r="E867" s="454"/>
      <c r="F867" s="454"/>
      <c r="G867" s="454"/>
      <c r="H867" s="454"/>
      <c r="I867" s="527"/>
      <c r="J867" s="455"/>
      <c r="K867" s="455"/>
      <c r="L867" s="455"/>
      <c r="M867" s="455"/>
      <c r="N867" s="455"/>
      <c r="O867" s="455"/>
      <c r="P867" s="455"/>
      <c r="Q867" s="455"/>
      <c r="R867" s="455"/>
      <c r="S867" s="455"/>
      <c r="T867" s="455"/>
    </row>
    <row r="868" spans="1:20" ht="17.25" customHeight="1">
      <c r="A868" s="454"/>
      <c r="B868" s="454"/>
      <c r="C868" s="454"/>
      <c r="D868" s="454"/>
      <c r="E868" s="454"/>
      <c r="F868" s="454"/>
      <c r="G868" s="454"/>
      <c r="H868" s="454"/>
      <c r="I868" s="527"/>
      <c r="J868" s="455"/>
      <c r="K868" s="455"/>
      <c r="L868" s="455"/>
      <c r="M868" s="455"/>
      <c r="N868" s="455"/>
      <c r="O868" s="455"/>
      <c r="P868" s="455"/>
      <c r="Q868" s="455"/>
      <c r="R868" s="455"/>
      <c r="S868" s="455"/>
      <c r="T868" s="455"/>
    </row>
    <row r="869" spans="1:20" ht="17.25" customHeight="1">
      <c r="A869" s="454"/>
      <c r="B869" s="454"/>
      <c r="C869" s="454"/>
      <c r="D869" s="454"/>
      <c r="E869" s="454"/>
      <c r="F869" s="454"/>
      <c r="G869" s="454"/>
      <c r="H869" s="454"/>
      <c r="I869" s="527"/>
      <c r="J869" s="455"/>
      <c r="K869" s="455"/>
      <c r="L869" s="455"/>
      <c r="M869" s="455"/>
      <c r="N869" s="455"/>
      <c r="O869" s="455"/>
      <c r="P869" s="455"/>
      <c r="Q869" s="455"/>
      <c r="R869" s="455"/>
      <c r="S869" s="455"/>
      <c r="T869" s="455"/>
    </row>
    <row r="870" spans="1:20" ht="17.25" customHeight="1">
      <c r="A870" s="454"/>
      <c r="B870" s="454"/>
      <c r="C870" s="454"/>
      <c r="D870" s="454"/>
      <c r="E870" s="454"/>
      <c r="F870" s="454"/>
      <c r="G870" s="454"/>
      <c r="H870" s="454"/>
      <c r="I870" s="527"/>
      <c r="J870" s="455"/>
      <c r="K870" s="455"/>
      <c r="L870" s="455"/>
      <c r="M870" s="455"/>
      <c r="N870" s="455"/>
      <c r="O870" s="455"/>
      <c r="P870" s="455"/>
      <c r="Q870" s="455"/>
      <c r="R870" s="455"/>
      <c r="S870" s="455"/>
      <c r="T870" s="455"/>
    </row>
    <row r="871" spans="1:20" ht="17.25" customHeight="1">
      <c r="A871" s="454"/>
      <c r="B871" s="454"/>
      <c r="C871" s="454"/>
      <c r="D871" s="454"/>
      <c r="E871" s="454"/>
      <c r="F871" s="454"/>
      <c r="G871" s="454"/>
      <c r="H871" s="454"/>
      <c r="I871" s="527"/>
      <c r="J871" s="455"/>
      <c r="K871" s="455"/>
      <c r="L871" s="455"/>
      <c r="M871" s="455"/>
      <c r="N871" s="455"/>
      <c r="O871" s="455"/>
      <c r="P871" s="455"/>
      <c r="Q871" s="455"/>
      <c r="R871" s="455"/>
      <c r="S871" s="455"/>
      <c r="T871" s="455"/>
    </row>
    <row r="872" spans="1:20" ht="17.25" customHeight="1">
      <c r="A872" s="454"/>
      <c r="B872" s="454"/>
      <c r="C872" s="454"/>
      <c r="D872" s="454"/>
      <c r="E872" s="454"/>
      <c r="F872" s="454"/>
      <c r="G872" s="454"/>
      <c r="H872" s="454"/>
      <c r="I872" s="527"/>
      <c r="J872" s="455"/>
      <c r="K872" s="455"/>
      <c r="L872" s="455"/>
      <c r="M872" s="455"/>
      <c r="N872" s="455"/>
      <c r="O872" s="455"/>
      <c r="P872" s="455"/>
      <c r="Q872" s="455"/>
      <c r="R872" s="455"/>
      <c r="S872" s="455"/>
      <c r="T872" s="455"/>
    </row>
    <row r="873" spans="1:20" ht="17.25" customHeight="1">
      <c r="A873" s="454"/>
      <c r="B873" s="454"/>
      <c r="C873" s="454"/>
      <c r="D873" s="454"/>
      <c r="E873" s="454"/>
      <c r="F873" s="454"/>
      <c r="G873" s="454"/>
      <c r="H873" s="454"/>
      <c r="I873" s="527"/>
      <c r="J873" s="455"/>
      <c r="K873" s="455"/>
      <c r="L873" s="455"/>
      <c r="M873" s="455"/>
      <c r="N873" s="455"/>
      <c r="O873" s="455"/>
      <c r="P873" s="455"/>
      <c r="Q873" s="455"/>
      <c r="R873" s="455"/>
      <c r="S873" s="455"/>
      <c r="T873" s="455"/>
    </row>
    <row r="874" spans="1:20" ht="17.25" customHeight="1">
      <c r="A874" s="454"/>
      <c r="B874" s="454"/>
      <c r="C874" s="454"/>
      <c r="D874" s="454"/>
      <c r="E874" s="454"/>
      <c r="F874" s="454"/>
      <c r="G874" s="454"/>
      <c r="H874" s="454"/>
      <c r="I874" s="527"/>
      <c r="J874" s="455"/>
      <c r="K874" s="455"/>
      <c r="L874" s="455"/>
      <c r="M874" s="455"/>
      <c r="N874" s="455"/>
      <c r="O874" s="455"/>
      <c r="P874" s="455"/>
      <c r="Q874" s="455"/>
      <c r="R874" s="455"/>
      <c r="S874" s="455"/>
      <c r="T874" s="455"/>
    </row>
    <row r="875" spans="1:20" ht="17.25" customHeight="1">
      <c r="A875" s="454"/>
      <c r="B875" s="454"/>
      <c r="C875" s="454"/>
      <c r="D875" s="454"/>
      <c r="E875" s="454"/>
      <c r="F875" s="454"/>
      <c r="G875" s="454"/>
      <c r="H875" s="454"/>
      <c r="I875" s="527"/>
      <c r="J875" s="455"/>
      <c r="K875" s="455"/>
      <c r="L875" s="455"/>
      <c r="M875" s="455"/>
      <c r="N875" s="455"/>
      <c r="O875" s="455"/>
      <c r="P875" s="455"/>
      <c r="Q875" s="455"/>
      <c r="R875" s="455"/>
      <c r="S875" s="455"/>
      <c r="T875" s="455"/>
    </row>
    <row r="876" spans="1:20" ht="17.25" customHeight="1">
      <c r="A876" s="454"/>
      <c r="B876" s="454"/>
      <c r="C876" s="454"/>
      <c r="D876" s="454"/>
      <c r="E876" s="454"/>
      <c r="F876" s="454"/>
      <c r="G876" s="454"/>
      <c r="H876" s="454"/>
      <c r="I876" s="527"/>
      <c r="J876" s="455"/>
      <c r="K876" s="455"/>
      <c r="L876" s="455"/>
      <c r="M876" s="455"/>
      <c r="N876" s="455"/>
      <c r="O876" s="455"/>
      <c r="P876" s="455"/>
      <c r="Q876" s="455"/>
      <c r="R876" s="455"/>
      <c r="S876" s="455"/>
      <c r="T876" s="455"/>
    </row>
    <row r="877" spans="1:20" ht="17.25" customHeight="1">
      <c r="A877" s="454"/>
      <c r="B877" s="454"/>
      <c r="C877" s="454"/>
      <c r="D877" s="454"/>
      <c r="E877" s="454"/>
      <c r="F877" s="454"/>
      <c r="G877" s="454"/>
      <c r="H877" s="454"/>
      <c r="I877" s="527"/>
      <c r="J877" s="455"/>
      <c r="K877" s="455"/>
      <c r="L877" s="455"/>
      <c r="M877" s="455"/>
      <c r="N877" s="455"/>
      <c r="O877" s="455"/>
      <c r="P877" s="455"/>
      <c r="Q877" s="455"/>
      <c r="R877" s="455"/>
      <c r="S877" s="455"/>
      <c r="T877" s="455"/>
    </row>
    <row r="878" spans="1:20" ht="17.25" customHeight="1">
      <c r="A878" s="454"/>
      <c r="B878" s="454"/>
      <c r="C878" s="454"/>
      <c r="D878" s="454"/>
      <c r="E878" s="454"/>
      <c r="F878" s="454"/>
      <c r="G878" s="454"/>
      <c r="H878" s="454"/>
      <c r="I878" s="527"/>
      <c r="J878" s="455"/>
      <c r="K878" s="455"/>
      <c r="L878" s="455"/>
      <c r="M878" s="455"/>
      <c r="N878" s="455"/>
      <c r="O878" s="455"/>
      <c r="P878" s="455"/>
      <c r="Q878" s="455"/>
      <c r="R878" s="455"/>
      <c r="S878" s="455"/>
      <c r="T878" s="455"/>
    </row>
    <row r="879" spans="1:20" ht="17.25" customHeight="1">
      <c r="A879" s="454"/>
      <c r="B879" s="454"/>
      <c r="C879" s="454"/>
      <c r="D879" s="454"/>
      <c r="E879" s="454"/>
      <c r="F879" s="454"/>
      <c r="G879" s="454"/>
      <c r="H879" s="454"/>
      <c r="I879" s="527"/>
      <c r="J879" s="455"/>
      <c r="K879" s="455"/>
      <c r="L879" s="455"/>
      <c r="M879" s="455"/>
      <c r="N879" s="455"/>
      <c r="O879" s="455"/>
      <c r="P879" s="455"/>
      <c r="Q879" s="455"/>
      <c r="R879" s="455"/>
      <c r="S879" s="455"/>
      <c r="T879" s="455"/>
    </row>
    <row r="880" spans="1:20" ht="17.25" customHeight="1">
      <c r="A880" s="454"/>
      <c r="B880" s="454"/>
      <c r="C880" s="454"/>
      <c r="D880" s="454"/>
      <c r="E880" s="454"/>
      <c r="F880" s="454"/>
      <c r="G880" s="454"/>
      <c r="H880" s="454"/>
      <c r="I880" s="527"/>
      <c r="J880" s="455"/>
      <c r="K880" s="455"/>
      <c r="L880" s="455"/>
      <c r="M880" s="455"/>
      <c r="N880" s="455"/>
      <c r="O880" s="455"/>
      <c r="P880" s="455"/>
      <c r="Q880" s="455"/>
      <c r="R880" s="455"/>
      <c r="S880" s="455"/>
      <c r="T880" s="455"/>
    </row>
    <row r="881" spans="1:20" ht="17.25" customHeight="1">
      <c r="A881" s="454"/>
      <c r="B881" s="454"/>
      <c r="C881" s="454"/>
      <c r="D881" s="454"/>
      <c r="E881" s="454"/>
      <c r="F881" s="454"/>
      <c r="G881" s="454"/>
      <c r="H881" s="454"/>
      <c r="I881" s="527"/>
      <c r="J881" s="455"/>
      <c r="K881" s="455"/>
      <c r="L881" s="455"/>
      <c r="M881" s="455"/>
      <c r="N881" s="455"/>
      <c r="O881" s="455"/>
      <c r="P881" s="455"/>
      <c r="Q881" s="455"/>
      <c r="R881" s="455"/>
      <c r="S881" s="455"/>
      <c r="T881" s="455"/>
    </row>
    <row r="882" spans="1:20" ht="17.25" customHeight="1">
      <c r="A882" s="454"/>
      <c r="B882" s="454"/>
      <c r="C882" s="454"/>
      <c r="D882" s="454"/>
      <c r="E882" s="454"/>
      <c r="F882" s="454"/>
      <c r="G882" s="454"/>
      <c r="H882" s="454"/>
      <c r="I882" s="527"/>
      <c r="J882" s="455"/>
      <c r="K882" s="455"/>
      <c r="L882" s="455"/>
      <c r="M882" s="455"/>
      <c r="N882" s="455"/>
      <c r="O882" s="455"/>
      <c r="P882" s="455"/>
      <c r="Q882" s="455"/>
      <c r="R882" s="455"/>
      <c r="S882" s="455"/>
      <c r="T882" s="455"/>
    </row>
    <row r="883" spans="1:20" ht="17.25" customHeight="1">
      <c r="A883" s="454"/>
      <c r="B883" s="454"/>
      <c r="C883" s="454"/>
      <c r="D883" s="454"/>
      <c r="E883" s="454"/>
      <c r="F883" s="454"/>
      <c r="G883" s="454"/>
      <c r="H883" s="454"/>
      <c r="I883" s="527"/>
      <c r="J883" s="455"/>
      <c r="K883" s="455"/>
      <c r="L883" s="455"/>
      <c r="M883" s="455"/>
      <c r="N883" s="455"/>
      <c r="O883" s="455"/>
      <c r="P883" s="455"/>
      <c r="Q883" s="455"/>
      <c r="R883" s="455"/>
      <c r="S883" s="455"/>
      <c r="T883" s="455"/>
    </row>
    <row r="884" spans="1:20" ht="17.25" customHeight="1">
      <c r="A884" s="454"/>
      <c r="B884" s="454"/>
      <c r="C884" s="454"/>
      <c r="D884" s="454"/>
      <c r="E884" s="454"/>
      <c r="F884" s="454"/>
      <c r="G884" s="454"/>
      <c r="H884" s="454"/>
      <c r="I884" s="527"/>
      <c r="J884" s="455"/>
      <c r="K884" s="455"/>
      <c r="L884" s="455"/>
      <c r="M884" s="455"/>
      <c r="N884" s="455"/>
      <c r="O884" s="455"/>
      <c r="P884" s="455"/>
      <c r="Q884" s="455"/>
      <c r="R884" s="455"/>
      <c r="S884" s="455"/>
      <c r="T884" s="455"/>
    </row>
    <row r="885" spans="1:20" ht="17.25" customHeight="1">
      <c r="A885" s="454"/>
      <c r="B885" s="454"/>
      <c r="C885" s="454"/>
      <c r="D885" s="454"/>
      <c r="E885" s="454"/>
      <c r="F885" s="454"/>
      <c r="G885" s="454"/>
      <c r="H885" s="454"/>
      <c r="I885" s="527"/>
      <c r="J885" s="455"/>
      <c r="K885" s="455"/>
      <c r="L885" s="455"/>
      <c r="M885" s="455"/>
      <c r="N885" s="455"/>
      <c r="O885" s="455"/>
      <c r="P885" s="455"/>
      <c r="Q885" s="455"/>
      <c r="R885" s="455"/>
      <c r="S885" s="455"/>
      <c r="T885" s="455"/>
    </row>
    <row r="886" spans="1:20" ht="17.25" customHeight="1">
      <c r="A886" s="454"/>
      <c r="B886" s="454"/>
      <c r="C886" s="454"/>
      <c r="D886" s="454"/>
      <c r="E886" s="454"/>
      <c r="F886" s="454"/>
      <c r="G886" s="454"/>
      <c r="H886" s="454"/>
      <c r="I886" s="527"/>
      <c r="J886" s="455"/>
      <c r="K886" s="455"/>
      <c r="L886" s="455"/>
      <c r="M886" s="455"/>
      <c r="N886" s="455"/>
      <c r="O886" s="455"/>
      <c r="P886" s="455"/>
      <c r="Q886" s="455"/>
      <c r="R886" s="455"/>
      <c r="S886" s="455"/>
      <c r="T886" s="455"/>
    </row>
    <row r="887" spans="1:20" ht="17.25" customHeight="1">
      <c r="A887" s="454"/>
      <c r="B887" s="454"/>
      <c r="C887" s="454"/>
      <c r="D887" s="454"/>
      <c r="E887" s="454"/>
      <c r="F887" s="454"/>
      <c r="G887" s="454"/>
      <c r="H887" s="454"/>
      <c r="I887" s="527"/>
      <c r="J887" s="455"/>
      <c r="K887" s="455"/>
      <c r="L887" s="455"/>
      <c r="M887" s="455"/>
      <c r="N887" s="455"/>
      <c r="O887" s="455"/>
      <c r="P887" s="455"/>
      <c r="Q887" s="455"/>
      <c r="R887" s="455"/>
      <c r="S887" s="455"/>
      <c r="T887" s="455"/>
    </row>
    <row r="888" spans="1:20" ht="17.25" customHeight="1">
      <c r="A888" s="454"/>
      <c r="B888" s="454"/>
      <c r="C888" s="454"/>
      <c r="D888" s="454"/>
      <c r="E888" s="454"/>
      <c r="F888" s="454"/>
      <c r="G888" s="454"/>
      <c r="H888" s="454"/>
      <c r="I888" s="527"/>
      <c r="J888" s="455"/>
      <c r="K888" s="455"/>
      <c r="L888" s="455"/>
      <c r="M888" s="455"/>
      <c r="N888" s="455"/>
      <c r="O888" s="455"/>
      <c r="P888" s="455"/>
      <c r="Q888" s="455"/>
      <c r="R888" s="455"/>
      <c r="S888" s="455"/>
      <c r="T888" s="455"/>
    </row>
    <row r="889" spans="1:20" ht="17.25" customHeight="1">
      <c r="A889" s="454"/>
      <c r="B889" s="454"/>
      <c r="C889" s="454"/>
      <c r="D889" s="454"/>
      <c r="E889" s="454"/>
      <c r="F889" s="454"/>
      <c r="G889" s="454"/>
      <c r="H889" s="454"/>
      <c r="I889" s="527"/>
      <c r="J889" s="455"/>
      <c r="K889" s="455"/>
      <c r="L889" s="455"/>
      <c r="M889" s="455"/>
      <c r="N889" s="455"/>
      <c r="O889" s="455"/>
      <c r="P889" s="455"/>
      <c r="Q889" s="455"/>
      <c r="R889" s="455"/>
      <c r="S889" s="455"/>
      <c r="T889" s="455"/>
    </row>
    <row r="890" spans="1:20" ht="17.25" customHeight="1">
      <c r="A890" s="454"/>
      <c r="B890" s="454"/>
      <c r="C890" s="454"/>
      <c r="D890" s="454"/>
      <c r="E890" s="454"/>
      <c r="F890" s="454"/>
      <c r="G890" s="454"/>
      <c r="H890" s="454"/>
      <c r="I890" s="527"/>
      <c r="J890" s="455"/>
      <c r="K890" s="455"/>
      <c r="L890" s="455"/>
      <c r="M890" s="455"/>
      <c r="N890" s="455"/>
      <c r="O890" s="455"/>
      <c r="P890" s="455"/>
      <c r="Q890" s="455"/>
      <c r="R890" s="455"/>
      <c r="S890" s="455"/>
      <c r="T890" s="455"/>
    </row>
    <row r="891" spans="1:20" ht="17.25" customHeight="1">
      <c r="A891" s="454"/>
      <c r="B891" s="454"/>
      <c r="C891" s="454"/>
      <c r="D891" s="454"/>
      <c r="E891" s="454"/>
      <c r="F891" s="454"/>
      <c r="G891" s="454"/>
      <c r="H891" s="454"/>
      <c r="I891" s="527"/>
      <c r="J891" s="455"/>
      <c r="K891" s="455"/>
      <c r="L891" s="455"/>
      <c r="M891" s="455"/>
      <c r="N891" s="455"/>
      <c r="O891" s="455"/>
      <c r="P891" s="455"/>
      <c r="Q891" s="455"/>
      <c r="R891" s="455"/>
      <c r="S891" s="455"/>
      <c r="T891" s="455"/>
    </row>
    <row r="892" spans="1:20" ht="17.25" customHeight="1">
      <c r="A892" s="454"/>
      <c r="B892" s="454"/>
      <c r="C892" s="454"/>
      <c r="D892" s="454"/>
      <c r="E892" s="454"/>
      <c r="F892" s="454"/>
      <c r="G892" s="454"/>
      <c r="H892" s="454"/>
      <c r="I892" s="527"/>
      <c r="J892" s="455"/>
      <c r="K892" s="455"/>
      <c r="L892" s="455"/>
      <c r="M892" s="455"/>
      <c r="N892" s="455"/>
      <c r="O892" s="455"/>
      <c r="P892" s="455"/>
      <c r="Q892" s="455"/>
      <c r="R892" s="455"/>
      <c r="S892" s="455"/>
      <c r="T892" s="455"/>
    </row>
    <row r="893" spans="1:20" ht="17.25" customHeight="1">
      <c r="A893" s="454"/>
      <c r="B893" s="454"/>
      <c r="C893" s="454"/>
      <c r="D893" s="454"/>
      <c r="E893" s="454"/>
      <c r="F893" s="454"/>
      <c r="G893" s="454"/>
      <c r="H893" s="454"/>
      <c r="I893" s="527"/>
      <c r="J893" s="455"/>
      <c r="K893" s="455"/>
      <c r="L893" s="455"/>
      <c r="M893" s="455"/>
      <c r="N893" s="455"/>
      <c r="O893" s="455"/>
      <c r="P893" s="455"/>
      <c r="Q893" s="455"/>
      <c r="R893" s="455"/>
      <c r="S893" s="455"/>
      <c r="T893" s="455"/>
    </row>
    <row r="894" spans="1:20" ht="17.25" customHeight="1">
      <c r="A894" s="454"/>
      <c r="B894" s="454"/>
      <c r="C894" s="454"/>
      <c r="D894" s="454"/>
      <c r="E894" s="454"/>
      <c r="F894" s="454"/>
      <c r="G894" s="454"/>
      <c r="H894" s="454"/>
      <c r="I894" s="527"/>
      <c r="J894" s="455"/>
      <c r="K894" s="455"/>
      <c r="L894" s="455"/>
      <c r="M894" s="455"/>
      <c r="N894" s="455"/>
      <c r="O894" s="455"/>
      <c r="P894" s="455"/>
      <c r="Q894" s="455"/>
      <c r="R894" s="455"/>
      <c r="S894" s="455"/>
      <c r="T894" s="455"/>
    </row>
    <row r="895" spans="1:20" ht="17.25" customHeight="1">
      <c r="A895" s="454"/>
      <c r="B895" s="454"/>
      <c r="C895" s="454"/>
      <c r="D895" s="454"/>
      <c r="E895" s="454"/>
      <c r="F895" s="454"/>
      <c r="G895" s="454"/>
      <c r="H895" s="454"/>
      <c r="I895" s="527"/>
      <c r="J895" s="455"/>
      <c r="K895" s="455"/>
      <c r="L895" s="455"/>
      <c r="M895" s="455"/>
      <c r="N895" s="455"/>
      <c r="O895" s="455"/>
      <c r="P895" s="455"/>
      <c r="Q895" s="455"/>
      <c r="R895" s="455"/>
      <c r="S895" s="455"/>
      <c r="T895" s="455"/>
    </row>
    <row r="896" spans="1:20" ht="17.25" customHeight="1">
      <c r="A896" s="454"/>
      <c r="B896" s="454"/>
      <c r="C896" s="454"/>
      <c r="D896" s="454"/>
      <c r="E896" s="454"/>
      <c r="F896" s="454"/>
      <c r="G896" s="454"/>
      <c r="H896" s="454"/>
      <c r="I896" s="527"/>
      <c r="J896" s="455"/>
      <c r="K896" s="455"/>
      <c r="L896" s="455"/>
      <c r="M896" s="455"/>
      <c r="N896" s="455"/>
      <c r="O896" s="455"/>
      <c r="P896" s="455"/>
      <c r="Q896" s="455"/>
      <c r="R896" s="455"/>
      <c r="S896" s="455"/>
      <c r="T896" s="455"/>
    </row>
    <row r="897" spans="1:20" ht="17.25" customHeight="1">
      <c r="A897" s="454"/>
      <c r="B897" s="454"/>
      <c r="C897" s="454"/>
      <c r="D897" s="454"/>
      <c r="E897" s="454"/>
      <c r="F897" s="454"/>
      <c r="G897" s="454"/>
      <c r="H897" s="454"/>
      <c r="I897" s="527"/>
      <c r="J897" s="455"/>
      <c r="K897" s="455"/>
      <c r="L897" s="455"/>
      <c r="M897" s="455"/>
      <c r="N897" s="455"/>
      <c r="O897" s="455"/>
      <c r="P897" s="455"/>
      <c r="Q897" s="455"/>
      <c r="R897" s="455"/>
      <c r="S897" s="455"/>
      <c r="T897" s="455"/>
    </row>
    <row r="898" spans="1:20" ht="17.25" customHeight="1">
      <c r="A898" s="454"/>
      <c r="B898" s="454"/>
      <c r="C898" s="454"/>
      <c r="D898" s="454"/>
      <c r="E898" s="454"/>
      <c r="F898" s="454"/>
      <c r="G898" s="454"/>
      <c r="H898" s="454"/>
      <c r="I898" s="527"/>
      <c r="J898" s="455"/>
      <c r="K898" s="455"/>
      <c r="L898" s="455"/>
      <c r="M898" s="455"/>
      <c r="N898" s="455"/>
      <c r="O898" s="455"/>
      <c r="P898" s="455"/>
      <c r="Q898" s="455"/>
      <c r="R898" s="455"/>
      <c r="S898" s="455"/>
      <c r="T898" s="455"/>
    </row>
    <row r="899" spans="1:20" ht="17.25" customHeight="1">
      <c r="A899" s="454"/>
      <c r="B899" s="454"/>
      <c r="C899" s="454"/>
      <c r="D899" s="454"/>
      <c r="E899" s="454"/>
      <c r="F899" s="454"/>
      <c r="G899" s="454"/>
      <c r="H899" s="454"/>
      <c r="I899" s="527"/>
      <c r="J899" s="455"/>
      <c r="K899" s="455"/>
      <c r="L899" s="455"/>
      <c r="M899" s="455"/>
      <c r="N899" s="455"/>
      <c r="O899" s="455"/>
      <c r="P899" s="455"/>
      <c r="Q899" s="455"/>
      <c r="R899" s="455"/>
      <c r="S899" s="455"/>
      <c r="T899" s="455"/>
    </row>
    <row r="900" spans="1:20" ht="17.25" customHeight="1">
      <c r="A900" s="454"/>
      <c r="B900" s="454"/>
      <c r="C900" s="454"/>
      <c r="D900" s="454"/>
      <c r="E900" s="454"/>
      <c r="F900" s="454"/>
      <c r="G900" s="454"/>
      <c r="H900" s="454"/>
      <c r="I900" s="527"/>
      <c r="J900" s="455"/>
      <c r="K900" s="455"/>
      <c r="L900" s="455"/>
      <c r="M900" s="455"/>
      <c r="N900" s="455"/>
      <c r="O900" s="455"/>
      <c r="P900" s="455"/>
      <c r="Q900" s="455"/>
      <c r="R900" s="455"/>
      <c r="S900" s="455"/>
      <c r="T900" s="455"/>
    </row>
    <row r="901" spans="1:20" ht="17.25" customHeight="1">
      <c r="A901" s="454"/>
      <c r="B901" s="454"/>
      <c r="C901" s="454"/>
      <c r="D901" s="454"/>
      <c r="E901" s="454"/>
      <c r="F901" s="454"/>
      <c r="G901" s="454"/>
      <c r="H901" s="454"/>
      <c r="I901" s="527"/>
      <c r="J901" s="455"/>
      <c r="K901" s="455"/>
      <c r="L901" s="455"/>
      <c r="M901" s="455"/>
      <c r="N901" s="455"/>
      <c r="O901" s="455"/>
      <c r="P901" s="455"/>
      <c r="Q901" s="455"/>
      <c r="R901" s="455"/>
      <c r="S901" s="455"/>
      <c r="T901" s="455"/>
    </row>
    <row r="902" spans="1:20" ht="17.25" customHeight="1">
      <c r="A902" s="454"/>
      <c r="B902" s="454"/>
      <c r="C902" s="454"/>
      <c r="D902" s="454"/>
      <c r="E902" s="454"/>
      <c r="F902" s="454"/>
      <c r="G902" s="454"/>
      <c r="H902" s="454"/>
      <c r="I902" s="527"/>
      <c r="J902" s="455"/>
      <c r="K902" s="455"/>
      <c r="L902" s="455"/>
      <c r="M902" s="455"/>
      <c r="N902" s="455"/>
      <c r="O902" s="455"/>
      <c r="P902" s="455"/>
      <c r="Q902" s="455"/>
      <c r="R902" s="455"/>
      <c r="S902" s="455"/>
      <c r="T902" s="455"/>
    </row>
    <row r="903" spans="1:20" ht="17.25" customHeight="1">
      <c r="A903" s="454"/>
      <c r="B903" s="454"/>
      <c r="C903" s="454"/>
      <c r="D903" s="454"/>
      <c r="E903" s="454"/>
      <c r="F903" s="454"/>
      <c r="G903" s="454"/>
      <c r="H903" s="454"/>
      <c r="I903" s="527"/>
      <c r="J903" s="455"/>
      <c r="K903" s="455"/>
      <c r="L903" s="455"/>
      <c r="M903" s="455"/>
      <c r="N903" s="455"/>
      <c r="O903" s="455"/>
      <c r="P903" s="455"/>
      <c r="Q903" s="455"/>
      <c r="R903" s="455"/>
      <c r="S903" s="455"/>
      <c r="T903" s="455"/>
    </row>
    <row r="904" spans="1:20" ht="17.25" customHeight="1">
      <c r="A904" s="454"/>
      <c r="B904" s="454"/>
      <c r="C904" s="454"/>
      <c r="D904" s="454"/>
      <c r="E904" s="454"/>
      <c r="F904" s="454"/>
      <c r="G904" s="454"/>
      <c r="H904" s="454"/>
      <c r="I904" s="527"/>
      <c r="J904" s="455"/>
      <c r="K904" s="455"/>
      <c r="L904" s="455"/>
      <c r="M904" s="455"/>
      <c r="N904" s="455"/>
      <c r="O904" s="455"/>
      <c r="P904" s="455"/>
      <c r="Q904" s="455"/>
      <c r="R904" s="455"/>
      <c r="S904" s="455"/>
      <c r="T904" s="455"/>
    </row>
    <row r="905" spans="1:20" ht="17.25" customHeight="1">
      <c r="A905" s="454"/>
      <c r="B905" s="454"/>
      <c r="C905" s="454"/>
      <c r="D905" s="454"/>
      <c r="E905" s="454"/>
      <c r="F905" s="454"/>
      <c r="G905" s="454"/>
      <c r="H905" s="454"/>
      <c r="I905" s="527"/>
      <c r="J905" s="455"/>
      <c r="K905" s="455"/>
      <c r="L905" s="455"/>
      <c r="M905" s="455"/>
      <c r="N905" s="455"/>
      <c r="O905" s="455"/>
      <c r="P905" s="455"/>
      <c r="Q905" s="455"/>
      <c r="R905" s="455"/>
      <c r="S905" s="455"/>
      <c r="T905" s="455"/>
    </row>
    <row r="906" spans="1:20" ht="17.25" customHeight="1">
      <c r="A906" s="454"/>
      <c r="B906" s="454"/>
      <c r="C906" s="454"/>
      <c r="D906" s="454"/>
      <c r="E906" s="454"/>
      <c r="F906" s="454"/>
      <c r="G906" s="454"/>
      <c r="H906" s="454"/>
      <c r="I906" s="527"/>
      <c r="J906" s="455"/>
      <c r="K906" s="455"/>
      <c r="L906" s="455"/>
      <c r="M906" s="455"/>
      <c r="N906" s="455"/>
      <c r="O906" s="455"/>
      <c r="P906" s="455"/>
      <c r="Q906" s="455"/>
      <c r="R906" s="455"/>
      <c r="S906" s="455"/>
      <c r="T906" s="455"/>
    </row>
    <row r="907" spans="1:20" ht="17.25" customHeight="1">
      <c r="A907" s="454"/>
      <c r="B907" s="454"/>
      <c r="C907" s="454"/>
      <c r="D907" s="454"/>
      <c r="E907" s="454"/>
      <c r="F907" s="454"/>
      <c r="G907" s="454"/>
      <c r="H907" s="454"/>
      <c r="I907" s="527"/>
      <c r="J907" s="455"/>
      <c r="K907" s="455"/>
      <c r="L907" s="455"/>
      <c r="M907" s="455"/>
      <c r="N907" s="455"/>
      <c r="O907" s="455"/>
      <c r="P907" s="455"/>
      <c r="Q907" s="455"/>
      <c r="R907" s="455"/>
      <c r="S907" s="455"/>
      <c r="T907" s="455"/>
    </row>
    <row r="908" spans="1:20" ht="17.25" customHeight="1">
      <c r="A908" s="454"/>
      <c r="B908" s="454"/>
      <c r="C908" s="454"/>
      <c r="D908" s="454"/>
      <c r="E908" s="454"/>
      <c r="F908" s="454"/>
      <c r="G908" s="454"/>
      <c r="H908" s="454"/>
      <c r="I908" s="527"/>
      <c r="J908" s="455"/>
      <c r="K908" s="455"/>
      <c r="L908" s="455"/>
      <c r="M908" s="455"/>
      <c r="N908" s="455"/>
      <c r="O908" s="455"/>
      <c r="P908" s="455"/>
      <c r="Q908" s="455"/>
      <c r="R908" s="455"/>
      <c r="S908" s="455"/>
      <c r="T908" s="455"/>
    </row>
    <row r="909" spans="1:20" ht="17.25" customHeight="1">
      <c r="A909" s="454"/>
      <c r="B909" s="454"/>
      <c r="C909" s="454"/>
      <c r="D909" s="454"/>
      <c r="E909" s="454"/>
      <c r="F909" s="454"/>
      <c r="G909" s="454"/>
      <c r="H909" s="454"/>
      <c r="I909" s="527"/>
      <c r="J909" s="455"/>
      <c r="K909" s="455"/>
      <c r="L909" s="455"/>
      <c r="M909" s="455"/>
      <c r="N909" s="455"/>
      <c r="O909" s="455"/>
      <c r="P909" s="455"/>
      <c r="Q909" s="455"/>
      <c r="R909" s="455"/>
      <c r="S909" s="455"/>
      <c r="T909" s="455"/>
    </row>
    <row r="910" spans="1:20" ht="17.25" customHeight="1">
      <c r="A910" s="454"/>
      <c r="B910" s="454"/>
      <c r="C910" s="454"/>
      <c r="D910" s="454"/>
      <c r="E910" s="454"/>
      <c r="F910" s="454"/>
      <c r="G910" s="454"/>
      <c r="H910" s="454"/>
      <c r="I910" s="527"/>
      <c r="J910" s="455"/>
      <c r="K910" s="455"/>
      <c r="L910" s="455"/>
      <c r="M910" s="455"/>
      <c r="N910" s="455"/>
      <c r="O910" s="455"/>
      <c r="P910" s="455"/>
      <c r="Q910" s="455"/>
      <c r="R910" s="455"/>
      <c r="S910" s="455"/>
      <c r="T910" s="455"/>
    </row>
    <row r="911" spans="1:20" ht="17.25" customHeight="1">
      <c r="A911" s="454"/>
      <c r="B911" s="454"/>
      <c r="C911" s="454"/>
      <c r="D911" s="454"/>
      <c r="E911" s="454"/>
      <c r="F911" s="454"/>
      <c r="G911" s="454"/>
      <c r="H911" s="454"/>
      <c r="I911" s="527"/>
      <c r="J911" s="455"/>
      <c r="K911" s="455"/>
      <c r="L911" s="455"/>
      <c r="M911" s="455"/>
      <c r="N911" s="455"/>
      <c r="O911" s="455"/>
      <c r="P911" s="455"/>
      <c r="Q911" s="455"/>
      <c r="R911" s="455"/>
      <c r="S911" s="455"/>
      <c r="T911" s="455"/>
    </row>
    <row r="912" spans="1:20" ht="17.25" customHeight="1">
      <c r="A912" s="454"/>
      <c r="B912" s="454"/>
      <c r="C912" s="454"/>
      <c r="D912" s="454"/>
      <c r="E912" s="454"/>
      <c r="F912" s="454"/>
      <c r="G912" s="454"/>
      <c r="H912" s="454"/>
      <c r="I912" s="527"/>
      <c r="J912" s="455"/>
      <c r="K912" s="455"/>
      <c r="L912" s="455"/>
      <c r="M912" s="455"/>
      <c r="N912" s="455"/>
      <c r="O912" s="455"/>
      <c r="P912" s="455"/>
      <c r="Q912" s="455"/>
      <c r="R912" s="455"/>
      <c r="S912" s="455"/>
      <c r="T912" s="455"/>
    </row>
    <row r="913" spans="1:20" ht="17.25" customHeight="1">
      <c r="A913" s="454"/>
      <c r="B913" s="454"/>
      <c r="C913" s="454"/>
      <c r="D913" s="454"/>
      <c r="E913" s="454"/>
      <c r="F913" s="454"/>
      <c r="G913" s="454"/>
      <c r="H913" s="454"/>
      <c r="I913" s="527"/>
      <c r="J913" s="455"/>
      <c r="K913" s="455"/>
      <c r="L913" s="455"/>
      <c r="M913" s="455"/>
      <c r="N913" s="455"/>
      <c r="O913" s="455"/>
      <c r="P913" s="455"/>
      <c r="Q913" s="455"/>
      <c r="R913" s="455"/>
      <c r="S913" s="455"/>
      <c r="T913" s="455"/>
    </row>
    <row r="914" spans="1:20" ht="17.25" customHeight="1">
      <c r="A914" s="454"/>
      <c r="B914" s="454"/>
      <c r="C914" s="454"/>
      <c r="D914" s="454"/>
      <c r="E914" s="454"/>
      <c r="F914" s="454"/>
      <c r="G914" s="454"/>
      <c r="H914" s="454"/>
      <c r="I914" s="527"/>
      <c r="J914" s="455"/>
      <c r="K914" s="455"/>
      <c r="L914" s="455"/>
      <c r="M914" s="455"/>
      <c r="N914" s="455"/>
      <c r="O914" s="455"/>
      <c r="P914" s="455"/>
      <c r="Q914" s="455"/>
      <c r="R914" s="455"/>
      <c r="S914" s="455"/>
      <c r="T914" s="455"/>
    </row>
    <row r="915" spans="1:20" ht="17.25" customHeight="1">
      <c r="A915" s="454"/>
      <c r="B915" s="454"/>
      <c r="C915" s="454"/>
      <c r="D915" s="454"/>
      <c r="E915" s="454"/>
      <c r="F915" s="454"/>
      <c r="G915" s="454"/>
      <c r="H915" s="454"/>
      <c r="I915" s="527"/>
      <c r="J915" s="455"/>
      <c r="K915" s="455"/>
      <c r="L915" s="455"/>
      <c r="M915" s="455"/>
      <c r="N915" s="455"/>
      <c r="O915" s="455"/>
      <c r="P915" s="455"/>
      <c r="Q915" s="455"/>
      <c r="R915" s="455"/>
      <c r="S915" s="455"/>
      <c r="T915" s="455"/>
    </row>
    <row r="916" spans="1:20" ht="17.25" customHeight="1">
      <c r="A916" s="454"/>
      <c r="B916" s="454"/>
      <c r="C916" s="454"/>
      <c r="D916" s="454"/>
      <c r="E916" s="454"/>
      <c r="F916" s="454"/>
      <c r="G916" s="454"/>
      <c r="H916" s="454"/>
      <c r="I916" s="527"/>
      <c r="J916" s="455"/>
      <c r="K916" s="455"/>
      <c r="L916" s="455"/>
      <c r="M916" s="455"/>
      <c r="N916" s="455"/>
      <c r="O916" s="455"/>
      <c r="P916" s="455"/>
      <c r="Q916" s="455"/>
      <c r="R916" s="455"/>
      <c r="S916" s="455"/>
      <c r="T916" s="455"/>
    </row>
    <row r="917" spans="1:20" ht="17.25" customHeight="1">
      <c r="A917" s="454"/>
      <c r="B917" s="454"/>
      <c r="C917" s="454"/>
      <c r="D917" s="454"/>
      <c r="E917" s="454"/>
      <c r="F917" s="454"/>
      <c r="G917" s="454"/>
      <c r="H917" s="454"/>
      <c r="I917" s="527"/>
      <c r="J917" s="455"/>
      <c r="K917" s="455"/>
      <c r="L917" s="455"/>
      <c r="M917" s="455"/>
      <c r="N917" s="455"/>
      <c r="O917" s="455"/>
      <c r="P917" s="455"/>
      <c r="Q917" s="455"/>
      <c r="R917" s="455"/>
      <c r="S917" s="455"/>
      <c r="T917" s="455"/>
    </row>
    <row r="918" spans="1:20" ht="17.25" customHeight="1">
      <c r="A918" s="454"/>
      <c r="B918" s="454"/>
      <c r="C918" s="454"/>
      <c r="D918" s="454"/>
      <c r="E918" s="454"/>
      <c r="F918" s="454"/>
      <c r="G918" s="454"/>
      <c r="H918" s="454"/>
      <c r="I918" s="527"/>
      <c r="J918" s="455"/>
      <c r="K918" s="455"/>
      <c r="L918" s="455"/>
      <c r="M918" s="455"/>
      <c r="N918" s="455"/>
      <c r="O918" s="455"/>
      <c r="P918" s="455"/>
      <c r="Q918" s="455"/>
      <c r="R918" s="455"/>
      <c r="S918" s="455"/>
      <c r="T918" s="455"/>
    </row>
    <row r="919" spans="1:20" ht="17.25" customHeight="1">
      <c r="A919" s="454"/>
      <c r="B919" s="454"/>
      <c r="C919" s="454"/>
      <c r="D919" s="454"/>
      <c r="E919" s="454"/>
      <c r="F919" s="454"/>
      <c r="G919" s="454"/>
      <c r="H919" s="454"/>
      <c r="I919" s="527"/>
      <c r="J919" s="455"/>
      <c r="K919" s="455"/>
      <c r="L919" s="455"/>
      <c r="M919" s="455"/>
      <c r="N919" s="455"/>
      <c r="O919" s="455"/>
      <c r="P919" s="455"/>
      <c r="Q919" s="455"/>
      <c r="R919" s="455"/>
      <c r="S919" s="455"/>
      <c r="T919" s="455"/>
    </row>
    <row r="920" spans="1:20" ht="17.25" customHeight="1">
      <c r="A920" s="454"/>
      <c r="B920" s="454"/>
      <c r="C920" s="454"/>
      <c r="D920" s="454"/>
      <c r="E920" s="454"/>
      <c r="F920" s="454"/>
      <c r="G920" s="454"/>
      <c r="H920" s="454"/>
      <c r="I920" s="527"/>
      <c r="J920" s="455"/>
      <c r="K920" s="455"/>
      <c r="L920" s="455"/>
      <c r="M920" s="455"/>
      <c r="N920" s="455"/>
      <c r="O920" s="455"/>
      <c r="P920" s="455"/>
      <c r="Q920" s="455"/>
      <c r="R920" s="455"/>
      <c r="S920" s="455"/>
      <c r="T920" s="455"/>
    </row>
    <row r="921" spans="1:20" ht="17.25" customHeight="1">
      <c r="A921" s="454"/>
      <c r="B921" s="454"/>
      <c r="C921" s="454"/>
      <c r="D921" s="454"/>
      <c r="E921" s="454"/>
      <c r="F921" s="454"/>
      <c r="G921" s="454"/>
      <c r="H921" s="454"/>
      <c r="I921" s="527"/>
      <c r="J921" s="455"/>
      <c r="K921" s="455"/>
      <c r="L921" s="455"/>
      <c r="M921" s="455"/>
      <c r="N921" s="455"/>
      <c r="O921" s="455"/>
      <c r="P921" s="455"/>
      <c r="Q921" s="455"/>
      <c r="R921" s="455"/>
      <c r="S921" s="455"/>
      <c r="T921" s="455"/>
    </row>
    <row r="922" spans="1:20" ht="17.25" customHeight="1">
      <c r="A922" s="454"/>
      <c r="B922" s="454"/>
      <c r="C922" s="454"/>
      <c r="D922" s="454"/>
      <c r="E922" s="454"/>
      <c r="F922" s="454"/>
      <c r="G922" s="454"/>
      <c r="H922" s="454"/>
      <c r="I922" s="527"/>
      <c r="J922" s="455"/>
      <c r="K922" s="455"/>
      <c r="L922" s="455"/>
      <c r="M922" s="455"/>
      <c r="N922" s="455"/>
      <c r="O922" s="455"/>
      <c r="P922" s="455"/>
      <c r="Q922" s="455"/>
      <c r="R922" s="455"/>
      <c r="S922" s="455"/>
      <c r="T922" s="455"/>
    </row>
    <row r="923" spans="1:20" ht="17.25" customHeight="1">
      <c r="A923" s="454"/>
      <c r="B923" s="454"/>
      <c r="C923" s="454"/>
      <c r="D923" s="454"/>
      <c r="E923" s="454"/>
      <c r="F923" s="454"/>
      <c r="G923" s="454"/>
      <c r="H923" s="454"/>
      <c r="I923" s="527"/>
      <c r="J923" s="455"/>
      <c r="K923" s="455"/>
      <c r="L923" s="455"/>
      <c r="M923" s="455"/>
      <c r="N923" s="455"/>
      <c r="O923" s="455"/>
      <c r="P923" s="455"/>
      <c r="Q923" s="455"/>
      <c r="R923" s="455"/>
      <c r="S923" s="455"/>
      <c r="T923" s="455"/>
    </row>
    <row r="924" spans="1:20" ht="17.25" customHeight="1">
      <c r="A924" s="454"/>
      <c r="B924" s="454"/>
      <c r="C924" s="454"/>
      <c r="D924" s="454"/>
      <c r="E924" s="454"/>
      <c r="F924" s="454"/>
      <c r="G924" s="454"/>
      <c r="H924" s="454"/>
      <c r="I924" s="527"/>
      <c r="J924" s="455"/>
      <c r="K924" s="455"/>
      <c r="L924" s="455"/>
      <c r="M924" s="455"/>
      <c r="N924" s="455"/>
      <c r="O924" s="455"/>
      <c r="P924" s="455"/>
      <c r="Q924" s="455"/>
      <c r="R924" s="455"/>
      <c r="S924" s="455"/>
      <c r="T924" s="455"/>
    </row>
    <row r="925" spans="1:20" ht="17.25" customHeight="1">
      <c r="A925" s="454"/>
      <c r="B925" s="454"/>
      <c r="C925" s="454"/>
      <c r="D925" s="454"/>
      <c r="E925" s="454"/>
      <c r="F925" s="454"/>
      <c r="G925" s="454"/>
      <c r="H925" s="454"/>
      <c r="I925" s="527"/>
      <c r="J925" s="455"/>
      <c r="K925" s="455"/>
      <c r="L925" s="455"/>
      <c r="M925" s="455"/>
      <c r="N925" s="455"/>
      <c r="O925" s="455"/>
      <c r="P925" s="455"/>
      <c r="Q925" s="455"/>
      <c r="R925" s="455"/>
      <c r="S925" s="455"/>
      <c r="T925" s="455"/>
    </row>
    <row r="926" spans="1:20" ht="17.25" customHeight="1">
      <c r="A926" s="454"/>
      <c r="B926" s="454"/>
      <c r="C926" s="454"/>
      <c r="D926" s="454"/>
      <c r="E926" s="454"/>
      <c r="F926" s="454"/>
      <c r="G926" s="454"/>
      <c r="H926" s="454"/>
      <c r="I926" s="527"/>
      <c r="J926" s="455"/>
      <c r="K926" s="455"/>
      <c r="L926" s="455"/>
      <c r="M926" s="455"/>
      <c r="N926" s="455"/>
      <c r="O926" s="455"/>
      <c r="P926" s="455"/>
      <c r="Q926" s="455"/>
      <c r="R926" s="455"/>
      <c r="S926" s="455"/>
      <c r="T926" s="455"/>
    </row>
    <row r="927" spans="1:20" ht="17.25" customHeight="1">
      <c r="A927" s="454"/>
      <c r="B927" s="454"/>
      <c r="C927" s="454"/>
      <c r="D927" s="454"/>
      <c r="E927" s="454"/>
      <c r="F927" s="454"/>
      <c r="G927" s="454"/>
      <c r="H927" s="454"/>
      <c r="I927" s="527"/>
      <c r="J927" s="455"/>
      <c r="K927" s="455"/>
      <c r="L927" s="455"/>
      <c r="M927" s="455"/>
      <c r="N927" s="455"/>
      <c r="O927" s="455"/>
      <c r="P927" s="455"/>
      <c r="Q927" s="455"/>
      <c r="R927" s="455"/>
      <c r="S927" s="455"/>
      <c r="T927" s="455"/>
    </row>
    <row r="928" spans="1:20" ht="17.25" customHeight="1">
      <c r="A928" s="454"/>
      <c r="B928" s="454"/>
      <c r="C928" s="454"/>
      <c r="D928" s="454"/>
      <c r="E928" s="454"/>
      <c r="F928" s="454"/>
      <c r="G928" s="454"/>
      <c r="H928" s="454"/>
      <c r="I928" s="527"/>
      <c r="J928" s="455"/>
      <c r="K928" s="455"/>
      <c r="L928" s="455"/>
      <c r="M928" s="455"/>
      <c r="N928" s="455"/>
      <c r="O928" s="455"/>
      <c r="P928" s="455"/>
      <c r="Q928" s="455"/>
      <c r="R928" s="455"/>
      <c r="S928" s="455"/>
      <c r="T928" s="455"/>
    </row>
    <row r="929" spans="1:20" ht="17.25" customHeight="1">
      <c r="A929" s="454"/>
      <c r="B929" s="454"/>
      <c r="C929" s="454"/>
      <c r="D929" s="454"/>
      <c r="E929" s="454"/>
      <c r="F929" s="454"/>
      <c r="G929" s="454"/>
      <c r="H929" s="454"/>
      <c r="I929" s="527"/>
      <c r="J929" s="455"/>
      <c r="K929" s="455"/>
      <c r="L929" s="455"/>
      <c r="M929" s="455"/>
      <c r="N929" s="455"/>
      <c r="O929" s="455"/>
      <c r="P929" s="455"/>
      <c r="Q929" s="455"/>
      <c r="R929" s="455"/>
      <c r="S929" s="455"/>
      <c r="T929" s="455"/>
    </row>
    <row r="930" spans="1:20" ht="17.25" customHeight="1">
      <c r="A930" s="454"/>
      <c r="B930" s="454"/>
      <c r="C930" s="454"/>
      <c r="D930" s="454"/>
      <c r="E930" s="454"/>
      <c r="F930" s="454"/>
      <c r="G930" s="454"/>
      <c r="H930" s="454"/>
      <c r="I930" s="527"/>
      <c r="J930" s="455"/>
      <c r="K930" s="455"/>
      <c r="L930" s="455"/>
      <c r="M930" s="455"/>
      <c r="N930" s="455"/>
      <c r="O930" s="455"/>
      <c r="P930" s="455"/>
      <c r="Q930" s="455"/>
      <c r="R930" s="455"/>
      <c r="S930" s="455"/>
      <c r="T930" s="455"/>
    </row>
    <row r="931" spans="1:20" ht="17.25" customHeight="1">
      <c r="A931" s="454"/>
      <c r="B931" s="454"/>
      <c r="C931" s="454"/>
      <c r="D931" s="454"/>
      <c r="E931" s="454"/>
      <c r="F931" s="454"/>
      <c r="G931" s="454"/>
      <c r="H931" s="454"/>
      <c r="I931" s="527"/>
      <c r="J931" s="455"/>
      <c r="K931" s="455"/>
      <c r="L931" s="455"/>
      <c r="M931" s="455"/>
      <c r="N931" s="455"/>
      <c r="O931" s="455"/>
      <c r="P931" s="455"/>
      <c r="Q931" s="455"/>
      <c r="R931" s="455"/>
      <c r="S931" s="455"/>
      <c r="T931" s="455"/>
    </row>
    <row r="932" spans="1:20" ht="17.25" customHeight="1">
      <c r="A932" s="454"/>
      <c r="B932" s="454"/>
      <c r="C932" s="454"/>
      <c r="D932" s="454"/>
      <c r="E932" s="454"/>
      <c r="F932" s="454"/>
      <c r="G932" s="454"/>
      <c r="H932" s="454"/>
      <c r="I932" s="527"/>
      <c r="J932" s="455"/>
      <c r="K932" s="455"/>
      <c r="L932" s="455"/>
      <c r="M932" s="455"/>
      <c r="N932" s="455"/>
      <c r="O932" s="455"/>
      <c r="P932" s="455"/>
      <c r="Q932" s="455"/>
      <c r="R932" s="455"/>
      <c r="S932" s="455"/>
      <c r="T932" s="455"/>
    </row>
    <row r="933" spans="1:20" ht="17.25" customHeight="1">
      <c r="A933" s="454"/>
      <c r="B933" s="454"/>
      <c r="C933" s="454"/>
      <c r="D933" s="454"/>
      <c r="E933" s="454"/>
      <c r="F933" s="454"/>
      <c r="G933" s="454"/>
      <c r="H933" s="454"/>
      <c r="I933" s="527"/>
      <c r="J933" s="455"/>
      <c r="K933" s="455"/>
      <c r="L933" s="455"/>
      <c r="M933" s="455"/>
      <c r="N933" s="455"/>
      <c r="O933" s="455"/>
      <c r="P933" s="455"/>
      <c r="Q933" s="455"/>
      <c r="R933" s="455"/>
      <c r="S933" s="455"/>
      <c r="T933" s="455"/>
    </row>
    <row r="934" spans="1:20" ht="17.25" customHeight="1">
      <c r="A934" s="454"/>
      <c r="B934" s="454"/>
      <c r="C934" s="454"/>
      <c r="D934" s="454"/>
      <c r="E934" s="454"/>
      <c r="F934" s="454"/>
      <c r="G934" s="454"/>
      <c r="H934" s="454"/>
      <c r="I934" s="527"/>
      <c r="J934" s="455"/>
      <c r="K934" s="455"/>
      <c r="L934" s="455"/>
      <c r="M934" s="455"/>
      <c r="N934" s="455"/>
      <c r="O934" s="455"/>
      <c r="P934" s="455"/>
      <c r="Q934" s="455"/>
      <c r="R934" s="455"/>
      <c r="S934" s="455"/>
      <c r="T934" s="455"/>
    </row>
    <row r="935" spans="1:20" ht="17.25" customHeight="1">
      <c r="A935" s="454"/>
      <c r="B935" s="454"/>
      <c r="C935" s="454"/>
      <c r="D935" s="454"/>
      <c r="E935" s="454"/>
      <c r="F935" s="454"/>
      <c r="G935" s="454"/>
      <c r="H935" s="454"/>
      <c r="I935" s="527"/>
      <c r="J935" s="455"/>
      <c r="K935" s="455"/>
      <c r="L935" s="455"/>
      <c r="M935" s="455"/>
      <c r="N935" s="455"/>
      <c r="O935" s="455"/>
      <c r="P935" s="455"/>
      <c r="Q935" s="455"/>
      <c r="R935" s="455"/>
      <c r="S935" s="455"/>
      <c r="T935" s="455"/>
    </row>
    <row r="936" spans="1:20" ht="17.25" customHeight="1">
      <c r="A936" s="454"/>
      <c r="B936" s="454"/>
      <c r="C936" s="454"/>
      <c r="D936" s="454"/>
      <c r="E936" s="454"/>
      <c r="F936" s="454"/>
      <c r="G936" s="454"/>
      <c r="H936" s="454"/>
      <c r="I936" s="527"/>
      <c r="J936" s="455"/>
      <c r="K936" s="455"/>
      <c r="L936" s="455"/>
      <c r="M936" s="455"/>
      <c r="N936" s="455"/>
      <c r="O936" s="455"/>
      <c r="P936" s="455"/>
      <c r="Q936" s="455"/>
      <c r="R936" s="455"/>
      <c r="S936" s="455"/>
      <c r="T936" s="455"/>
    </row>
    <row r="937" spans="1:20" ht="17.25" customHeight="1">
      <c r="A937" s="454"/>
      <c r="B937" s="454"/>
      <c r="C937" s="454"/>
      <c r="D937" s="454"/>
      <c r="E937" s="454"/>
      <c r="F937" s="454"/>
      <c r="G937" s="454"/>
      <c r="H937" s="454"/>
      <c r="I937" s="527"/>
      <c r="J937" s="455"/>
      <c r="K937" s="455"/>
      <c r="L937" s="455"/>
      <c r="M937" s="455"/>
      <c r="N937" s="455"/>
      <c r="O937" s="455"/>
      <c r="P937" s="455"/>
      <c r="Q937" s="455"/>
      <c r="R937" s="455"/>
      <c r="S937" s="455"/>
      <c r="T937" s="455"/>
    </row>
    <row r="938" spans="1:20" ht="17.25" customHeight="1">
      <c r="A938" s="454"/>
      <c r="B938" s="454"/>
      <c r="C938" s="454"/>
      <c r="D938" s="454"/>
      <c r="E938" s="454"/>
      <c r="F938" s="454"/>
      <c r="G938" s="454"/>
      <c r="H938" s="454"/>
      <c r="I938" s="527"/>
      <c r="J938" s="455"/>
      <c r="K938" s="455"/>
      <c r="L938" s="455"/>
      <c r="M938" s="455"/>
      <c r="N938" s="455"/>
      <c r="O938" s="455"/>
      <c r="P938" s="455"/>
      <c r="Q938" s="455"/>
      <c r="R938" s="455"/>
      <c r="S938" s="455"/>
      <c r="T938" s="455"/>
    </row>
    <row r="939" spans="1:20" ht="17.25" customHeight="1">
      <c r="A939" s="454"/>
      <c r="B939" s="454"/>
      <c r="C939" s="454"/>
      <c r="D939" s="454"/>
      <c r="E939" s="454"/>
      <c r="F939" s="454"/>
      <c r="G939" s="454"/>
      <c r="H939" s="454"/>
      <c r="I939" s="527"/>
      <c r="J939" s="455"/>
      <c r="K939" s="455"/>
      <c r="L939" s="455"/>
      <c r="M939" s="455"/>
      <c r="N939" s="455"/>
      <c r="O939" s="455"/>
      <c r="P939" s="455"/>
      <c r="Q939" s="455"/>
      <c r="R939" s="455"/>
      <c r="S939" s="455"/>
      <c r="T939" s="455"/>
    </row>
    <row r="940" spans="1:20" ht="17.25" customHeight="1">
      <c r="A940" s="454"/>
      <c r="B940" s="454"/>
      <c r="C940" s="454"/>
      <c r="D940" s="454"/>
      <c r="E940" s="454"/>
      <c r="F940" s="454"/>
      <c r="G940" s="454"/>
      <c r="H940" s="454"/>
      <c r="I940" s="527"/>
      <c r="J940" s="455"/>
      <c r="K940" s="455"/>
      <c r="L940" s="455"/>
      <c r="M940" s="455"/>
      <c r="N940" s="455"/>
      <c r="O940" s="455"/>
      <c r="P940" s="455"/>
      <c r="Q940" s="455"/>
      <c r="R940" s="455"/>
      <c r="S940" s="455"/>
      <c r="T940" s="455"/>
    </row>
    <row r="941" spans="1:20" ht="17.25" customHeight="1">
      <c r="A941" s="454"/>
      <c r="B941" s="454"/>
      <c r="C941" s="454"/>
      <c r="D941" s="454"/>
      <c r="E941" s="454"/>
      <c r="F941" s="454"/>
      <c r="G941" s="454"/>
      <c r="H941" s="454"/>
      <c r="I941" s="527"/>
      <c r="J941" s="455"/>
      <c r="K941" s="455"/>
      <c r="L941" s="455"/>
      <c r="M941" s="455"/>
      <c r="N941" s="455"/>
      <c r="O941" s="455"/>
      <c r="P941" s="455"/>
      <c r="Q941" s="455"/>
      <c r="R941" s="455"/>
      <c r="S941" s="455"/>
      <c r="T941" s="455"/>
    </row>
    <row r="942" spans="1:20" ht="17.25" customHeight="1">
      <c r="A942" s="454"/>
      <c r="B942" s="454"/>
      <c r="C942" s="454"/>
      <c r="D942" s="454"/>
      <c r="E942" s="454"/>
      <c r="F942" s="454"/>
      <c r="G942" s="454"/>
      <c r="H942" s="454"/>
      <c r="I942" s="527"/>
      <c r="J942" s="455"/>
      <c r="K942" s="455"/>
      <c r="L942" s="455"/>
      <c r="M942" s="455"/>
      <c r="N942" s="455"/>
      <c r="O942" s="455"/>
      <c r="P942" s="455"/>
      <c r="Q942" s="455"/>
      <c r="R942" s="455"/>
      <c r="S942" s="455"/>
      <c r="T942" s="455"/>
    </row>
    <row r="943" spans="1:20" ht="17.25" customHeight="1">
      <c r="A943" s="454"/>
      <c r="B943" s="454"/>
      <c r="C943" s="454"/>
      <c r="D943" s="454"/>
      <c r="E943" s="454"/>
      <c r="F943" s="454"/>
      <c r="G943" s="454"/>
      <c r="H943" s="454"/>
      <c r="I943" s="527"/>
      <c r="J943" s="455"/>
      <c r="K943" s="455"/>
      <c r="L943" s="455"/>
      <c r="M943" s="455"/>
      <c r="N943" s="455"/>
      <c r="O943" s="455"/>
      <c r="P943" s="455"/>
      <c r="Q943" s="455"/>
      <c r="R943" s="455"/>
      <c r="S943" s="455"/>
      <c r="T943" s="455"/>
    </row>
    <row r="944" spans="1:20" ht="17.25" customHeight="1">
      <c r="A944" s="454"/>
      <c r="B944" s="454"/>
      <c r="C944" s="454"/>
      <c r="D944" s="454"/>
      <c r="E944" s="454"/>
      <c r="F944" s="454"/>
      <c r="G944" s="454"/>
      <c r="H944" s="454"/>
      <c r="I944" s="527"/>
      <c r="J944" s="455"/>
      <c r="K944" s="455"/>
      <c r="L944" s="455"/>
      <c r="M944" s="455"/>
      <c r="N944" s="455"/>
      <c r="O944" s="455"/>
      <c r="P944" s="455"/>
      <c r="Q944" s="455"/>
      <c r="R944" s="455"/>
      <c r="S944" s="455"/>
      <c r="T944" s="455"/>
    </row>
    <row r="945" spans="1:20" ht="17.25" customHeight="1">
      <c r="A945" s="454"/>
      <c r="B945" s="454"/>
      <c r="C945" s="454"/>
      <c r="D945" s="454"/>
      <c r="E945" s="454"/>
      <c r="F945" s="454"/>
      <c r="G945" s="454"/>
      <c r="H945" s="454"/>
      <c r="I945" s="527"/>
      <c r="J945" s="455"/>
      <c r="K945" s="455"/>
      <c r="L945" s="455"/>
      <c r="M945" s="455"/>
      <c r="N945" s="455"/>
      <c r="O945" s="455"/>
      <c r="P945" s="455"/>
      <c r="Q945" s="455"/>
      <c r="R945" s="455"/>
      <c r="S945" s="455"/>
      <c r="T945" s="455"/>
    </row>
    <row r="946" spans="1:20" ht="17.25" customHeight="1">
      <c r="A946" s="454"/>
      <c r="B946" s="454"/>
      <c r="C946" s="454"/>
      <c r="D946" s="454"/>
      <c r="E946" s="454"/>
      <c r="F946" s="454"/>
      <c r="G946" s="454"/>
      <c r="H946" s="454"/>
      <c r="I946" s="527"/>
      <c r="J946" s="455"/>
      <c r="K946" s="455"/>
      <c r="L946" s="455"/>
      <c r="M946" s="455"/>
      <c r="N946" s="455"/>
      <c r="O946" s="455"/>
      <c r="P946" s="455"/>
      <c r="Q946" s="455"/>
      <c r="R946" s="455"/>
      <c r="S946" s="455"/>
      <c r="T946" s="455"/>
    </row>
    <row r="947" spans="1:20" ht="17.25" customHeight="1">
      <c r="A947" s="454"/>
      <c r="B947" s="454"/>
      <c r="C947" s="454"/>
      <c r="D947" s="454"/>
      <c r="E947" s="454"/>
      <c r="F947" s="454"/>
      <c r="G947" s="454"/>
      <c r="H947" s="454"/>
      <c r="I947" s="527"/>
      <c r="J947" s="455"/>
      <c r="K947" s="455"/>
      <c r="L947" s="455"/>
      <c r="M947" s="455"/>
      <c r="N947" s="455"/>
      <c r="O947" s="455"/>
      <c r="P947" s="455"/>
      <c r="Q947" s="455"/>
      <c r="R947" s="455"/>
      <c r="S947" s="455"/>
      <c r="T947" s="455"/>
    </row>
    <row r="948" spans="1:20" ht="17.25" customHeight="1">
      <c r="A948" s="454"/>
      <c r="B948" s="454"/>
      <c r="C948" s="454"/>
      <c r="D948" s="454"/>
      <c r="E948" s="454"/>
      <c r="F948" s="454"/>
      <c r="G948" s="454"/>
      <c r="H948" s="454"/>
      <c r="I948" s="527"/>
      <c r="J948" s="455"/>
      <c r="K948" s="455"/>
      <c r="L948" s="455"/>
      <c r="M948" s="455"/>
      <c r="N948" s="455"/>
      <c r="O948" s="455"/>
      <c r="P948" s="455"/>
      <c r="Q948" s="455"/>
      <c r="R948" s="455"/>
      <c r="S948" s="455"/>
      <c r="T948" s="455"/>
    </row>
    <row r="949" spans="1:20" ht="17.25" customHeight="1">
      <c r="A949" s="454"/>
      <c r="B949" s="454"/>
      <c r="C949" s="454"/>
      <c r="D949" s="454"/>
      <c r="E949" s="454"/>
      <c r="F949" s="454"/>
      <c r="G949" s="454"/>
      <c r="H949" s="454"/>
      <c r="I949" s="527"/>
      <c r="J949" s="455"/>
      <c r="K949" s="455"/>
      <c r="L949" s="455"/>
      <c r="M949" s="455"/>
      <c r="N949" s="455"/>
      <c r="O949" s="455"/>
      <c r="P949" s="455"/>
      <c r="Q949" s="455"/>
      <c r="R949" s="455"/>
      <c r="S949" s="455"/>
      <c r="T949" s="455"/>
    </row>
    <row r="950" spans="1:20" ht="17.25" customHeight="1">
      <c r="A950" s="454"/>
      <c r="B950" s="454"/>
      <c r="C950" s="454"/>
      <c r="D950" s="454"/>
      <c r="E950" s="454"/>
      <c r="F950" s="454"/>
      <c r="G950" s="454"/>
      <c r="H950" s="454"/>
      <c r="I950" s="527"/>
      <c r="J950" s="455"/>
      <c r="K950" s="455"/>
      <c r="L950" s="455"/>
      <c r="M950" s="455"/>
      <c r="N950" s="455"/>
      <c r="O950" s="455"/>
      <c r="P950" s="455"/>
      <c r="Q950" s="455"/>
      <c r="R950" s="455"/>
      <c r="S950" s="455"/>
      <c r="T950" s="455"/>
    </row>
    <row r="951" spans="1:20" ht="17.25" customHeight="1">
      <c r="A951" s="454"/>
      <c r="B951" s="454"/>
      <c r="C951" s="454"/>
      <c r="D951" s="454"/>
      <c r="E951" s="454"/>
      <c r="F951" s="454"/>
      <c r="G951" s="454"/>
      <c r="H951" s="454"/>
      <c r="I951" s="527"/>
      <c r="J951" s="455"/>
      <c r="K951" s="455"/>
      <c r="L951" s="455"/>
      <c r="M951" s="455"/>
      <c r="N951" s="455"/>
      <c r="O951" s="455"/>
      <c r="P951" s="455"/>
      <c r="Q951" s="455"/>
      <c r="R951" s="455"/>
      <c r="S951" s="455"/>
      <c r="T951" s="455"/>
    </row>
    <row r="952" spans="1:20" ht="17.25" customHeight="1">
      <c r="A952" s="454"/>
      <c r="B952" s="454"/>
      <c r="C952" s="454"/>
      <c r="D952" s="454"/>
      <c r="E952" s="454"/>
      <c r="F952" s="454"/>
      <c r="G952" s="454"/>
      <c r="H952" s="454"/>
      <c r="I952" s="527"/>
      <c r="J952" s="455"/>
      <c r="K952" s="455"/>
      <c r="L952" s="455"/>
      <c r="M952" s="455"/>
      <c r="N952" s="455"/>
      <c r="O952" s="455"/>
      <c r="P952" s="455"/>
      <c r="Q952" s="455"/>
      <c r="R952" s="455"/>
      <c r="S952" s="455"/>
      <c r="T952" s="455"/>
    </row>
    <row r="953" spans="1:20" ht="17.25" customHeight="1">
      <c r="A953" s="454"/>
      <c r="B953" s="454"/>
      <c r="C953" s="454"/>
      <c r="D953" s="454"/>
      <c r="E953" s="454"/>
      <c r="F953" s="454"/>
      <c r="G953" s="454"/>
      <c r="H953" s="454"/>
      <c r="I953" s="527"/>
      <c r="J953" s="455"/>
      <c r="K953" s="455"/>
      <c r="L953" s="455"/>
      <c r="M953" s="455"/>
      <c r="N953" s="455"/>
      <c r="O953" s="455"/>
      <c r="P953" s="455"/>
      <c r="Q953" s="455"/>
      <c r="R953" s="455"/>
      <c r="S953" s="455"/>
      <c r="T953" s="455"/>
    </row>
    <row r="954" spans="1:20" ht="17.25" customHeight="1">
      <c r="A954" s="454"/>
      <c r="B954" s="454"/>
      <c r="C954" s="454"/>
      <c r="D954" s="454"/>
      <c r="E954" s="454"/>
      <c r="F954" s="454"/>
      <c r="G954" s="454"/>
      <c r="H954" s="454"/>
      <c r="I954" s="527"/>
      <c r="J954" s="455"/>
      <c r="K954" s="455"/>
      <c r="L954" s="455"/>
      <c r="M954" s="455"/>
      <c r="N954" s="455"/>
      <c r="O954" s="455"/>
      <c r="P954" s="455"/>
      <c r="Q954" s="455"/>
      <c r="R954" s="455"/>
      <c r="S954" s="455"/>
      <c r="T954" s="455"/>
    </row>
    <row r="955" spans="1:20" ht="17.25" customHeight="1">
      <c r="A955" s="454"/>
      <c r="B955" s="454"/>
      <c r="C955" s="454"/>
      <c r="D955" s="454"/>
      <c r="E955" s="454"/>
      <c r="F955" s="454"/>
      <c r="G955" s="454"/>
      <c r="H955" s="454"/>
      <c r="I955" s="527"/>
      <c r="J955" s="455"/>
      <c r="K955" s="455"/>
      <c r="L955" s="455"/>
      <c r="M955" s="455"/>
      <c r="N955" s="455"/>
      <c r="O955" s="455"/>
      <c r="P955" s="455"/>
      <c r="Q955" s="455"/>
      <c r="R955" s="455"/>
      <c r="S955" s="455"/>
      <c r="T955" s="455"/>
    </row>
    <row r="956" spans="1:20" ht="17.25" customHeight="1">
      <c r="A956" s="454"/>
      <c r="B956" s="454"/>
      <c r="C956" s="454"/>
      <c r="D956" s="454"/>
      <c r="E956" s="454"/>
      <c r="F956" s="454"/>
      <c r="G956" s="454"/>
      <c r="H956" s="454"/>
      <c r="I956" s="527"/>
      <c r="J956" s="455"/>
      <c r="K956" s="455"/>
      <c r="L956" s="455"/>
      <c r="M956" s="455"/>
      <c r="N956" s="455"/>
      <c r="O956" s="455"/>
      <c r="P956" s="455"/>
      <c r="Q956" s="455"/>
      <c r="R956" s="455"/>
      <c r="S956" s="455"/>
      <c r="T956" s="455"/>
    </row>
    <row r="957" spans="1:20" ht="17.25" customHeight="1">
      <c r="A957" s="454"/>
      <c r="B957" s="454"/>
      <c r="C957" s="454"/>
      <c r="D957" s="454"/>
      <c r="E957" s="454"/>
      <c r="F957" s="454"/>
      <c r="G957" s="454"/>
      <c r="H957" s="454"/>
      <c r="I957" s="527"/>
      <c r="J957" s="455"/>
      <c r="K957" s="455"/>
      <c r="L957" s="455"/>
      <c r="M957" s="455"/>
      <c r="N957" s="455"/>
      <c r="O957" s="455"/>
      <c r="P957" s="455"/>
      <c r="Q957" s="455"/>
      <c r="R957" s="455"/>
      <c r="S957" s="455"/>
      <c r="T957" s="455"/>
    </row>
    <row r="958" spans="1:20" ht="17.25" customHeight="1">
      <c r="A958" s="454"/>
      <c r="B958" s="454"/>
      <c r="C958" s="454"/>
      <c r="D958" s="454"/>
      <c r="E958" s="454"/>
      <c r="F958" s="454"/>
      <c r="G958" s="454"/>
      <c r="H958" s="454"/>
      <c r="I958" s="527"/>
      <c r="J958" s="455"/>
      <c r="K958" s="455"/>
      <c r="L958" s="455"/>
      <c r="M958" s="455"/>
      <c r="N958" s="455"/>
      <c r="O958" s="455"/>
      <c r="P958" s="455"/>
      <c r="Q958" s="455"/>
      <c r="R958" s="455"/>
      <c r="S958" s="455"/>
      <c r="T958" s="455"/>
    </row>
    <row r="959" spans="1:20" ht="17.25" customHeight="1">
      <c r="A959" s="454"/>
      <c r="B959" s="454"/>
      <c r="C959" s="454"/>
      <c r="D959" s="454"/>
      <c r="E959" s="454"/>
      <c r="F959" s="454"/>
      <c r="G959" s="454"/>
      <c r="H959" s="454"/>
      <c r="I959" s="527"/>
      <c r="J959" s="455"/>
      <c r="K959" s="455"/>
      <c r="L959" s="455"/>
      <c r="M959" s="455"/>
      <c r="N959" s="455"/>
      <c r="O959" s="455"/>
      <c r="P959" s="455"/>
      <c r="Q959" s="455"/>
      <c r="R959" s="455"/>
      <c r="S959" s="455"/>
      <c r="T959" s="455"/>
    </row>
    <row r="960" spans="1:20" ht="17.25" customHeight="1">
      <c r="A960" s="454"/>
      <c r="B960" s="454"/>
      <c r="C960" s="454"/>
      <c r="D960" s="454"/>
      <c r="E960" s="454"/>
      <c r="F960" s="454"/>
      <c r="G960" s="454"/>
      <c r="H960" s="454"/>
      <c r="I960" s="527"/>
      <c r="J960" s="455"/>
      <c r="K960" s="455"/>
      <c r="L960" s="455"/>
      <c r="M960" s="455"/>
      <c r="N960" s="455"/>
      <c r="O960" s="455"/>
      <c r="P960" s="455"/>
      <c r="Q960" s="455"/>
      <c r="R960" s="455"/>
      <c r="S960" s="455"/>
      <c r="T960" s="455"/>
    </row>
    <row r="961" spans="1:20" ht="17.25" customHeight="1">
      <c r="A961" s="454"/>
      <c r="B961" s="454"/>
      <c r="C961" s="454"/>
      <c r="D961" s="454"/>
      <c r="E961" s="454"/>
      <c r="F961" s="454"/>
      <c r="G961" s="454"/>
      <c r="H961" s="454"/>
      <c r="I961" s="527"/>
      <c r="J961" s="455"/>
      <c r="K961" s="455"/>
      <c r="L961" s="455"/>
      <c r="M961" s="455"/>
      <c r="N961" s="455"/>
      <c r="O961" s="455"/>
      <c r="P961" s="455"/>
      <c r="Q961" s="455"/>
      <c r="R961" s="455"/>
      <c r="S961" s="455"/>
      <c r="T961" s="455"/>
    </row>
    <row r="962" spans="1:20" ht="17.25" customHeight="1">
      <c r="A962" s="454"/>
      <c r="B962" s="454"/>
      <c r="C962" s="454"/>
      <c r="D962" s="454"/>
      <c r="E962" s="454"/>
      <c r="F962" s="454"/>
      <c r="G962" s="454"/>
      <c r="H962" s="454"/>
      <c r="I962" s="527"/>
      <c r="J962" s="455"/>
      <c r="K962" s="455"/>
      <c r="L962" s="455"/>
      <c r="M962" s="455"/>
      <c r="N962" s="455"/>
      <c r="O962" s="455"/>
      <c r="P962" s="455"/>
      <c r="Q962" s="455"/>
      <c r="R962" s="455"/>
      <c r="S962" s="455"/>
      <c r="T962" s="455"/>
    </row>
    <row r="963" spans="1:20" ht="17.25" customHeight="1">
      <c r="A963" s="454"/>
      <c r="B963" s="454"/>
      <c r="C963" s="454"/>
      <c r="D963" s="454"/>
      <c r="E963" s="454"/>
      <c r="F963" s="454"/>
      <c r="G963" s="454"/>
      <c r="H963" s="454"/>
      <c r="I963" s="527"/>
      <c r="J963" s="455"/>
      <c r="K963" s="455"/>
      <c r="L963" s="455"/>
      <c r="M963" s="455"/>
      <c r="N963" s="455"/>
      <c r="O963" s="455"/>
      <c r="P963" s="455"/>
      <c r="Q963" s="455"/>
      <c r="R963" s="455"/>
      <c r="S963" s="455"/>
      <c r="T963" s="455"/>
    </row>
    <row r="964" spans="1:20" ht="17.25" customHeight="1">
      <c r="A964" s="454"/>
      <c r="B964" s="454"/>
      <c r="C964" s="454"/>
      <c r="D964" s="454"/>
      <c r="E964" s="454"/>
      <c r="F964" s="454"/>
      <c r="G964" s="454"/>
      <c r="H964" s="454"/>
      <c r="I964" s="527"/>
      <c r="J964" s="455"/>
      <c r="K964" s="455"/>
      <c r="L964" s="455"/>
      <c r="M964" s="455"/>
      <c r="N964" s="455"/>
      <c r="O964" s="455"/>
      <c r="P964" s="455"/>
      <c r="Q964" s="455"/>
      <c r="R964" s="455"/>
      <c r="S964" s="455"/>
      <c r="T964" s="455"/>
    </row>
    <row r="965" spans="1:20" ht="17.25" customHeight="1">
      <c r="A965" s="454"/>
      <c r="B965" s="454"/>
      <c r="C965" s="454"/>
      <c r="D965" s="454"/>
      <c r="E965" s="454"/>
      <c r="F965" s="454"/>
      <c r="G965" s="454"/>
      <c r="H965" s="454"/>
      <c r="I965" s="527"/>
      <c r="J965" s="455"/>
      <c r="K965" s="455"/>
      <c r="L965" s="455"/>
      <c r="M965" s="455"/>
      <c r="N965" s="455"/>
      <c r="O965" s="455"/>
      <c r="P965" s="455"/>
      <c r="Q965" s="455"/>
      <c r="R965" s="455"/>
      <c r="S965" s="455"/>
      <c r="T965" s="455"/>
    </row>
    <row r="966" spans="1:20" ht="17.25" customHeight="1">
      <c r="A966" s="454"/>
      <c r="B966" s="454"/>
      <c r="C966" s="454"/>
      <c r="D966" s="454"/>
      <c r="E966" s="454"/>
      <c r="F966" s="454"/>
      <c r="G966" s="454"/>
      <c r="H966" s="454"/>
      <c r="I966" s="527"/>
      <c r="J966" s="455"/>
      <c r="K966" s="455"/>
      <c r="L966" s="455"/>
      <c r="M966" s="455"/>
      <c r="N966" s="455"/>
      <c r="O966" s="455"/>
      <c r="P966" s="455"/>
      <c r="Q966" s="455"/>
      <c r="R966" s="455"/>
      <c r="S966" s="455"/>
      <c r="T966" s="455"/>
    </row>
    <row r="967" spans="1:20" ht="17.25" customHeight="1">
      <c r="A967" s="454"/>
      <c r="B967" s="454"/>
      <c r="C967" s="454"/>
      <c r="D967" s="454"/>
      <c r="E967" s="454"/>
      <c r="F967" s="454"/>
      <c r="G967" s="454"/>
      <c r="H967" s="454"/>
      <c r="I967" s="527"/>
      <c r="J967" s="455"/>
      <c r="K967" s="455"/>
      <c r="L967" s="455"/>
      <c r="M967" s="455"/>
      <c r="N967" s="455"/>
      <c r="O967" s="455"/>
      <c r="P967" s="455"/>
      <c r="Q967" s="455"/>
      <c r="R967" s="455"/>
      <c r="S967" s="455"/>
      <c r="T967" s="455"/>
    </row>
    <row r="968" spans="1:20" ht="17.25" customHeight="1">
      <c r="A968" s="454"/>
      <c r="B968" s="454"/>
      <c r="C968" s="454"/>
      <c r="D968" s="454"/>
      <c r="E968" s="454"/>
      <c r="F968" s="454"/>
      <c r="G968" s="454"/>
      <c r="H968" s="454"/>
      <c r="I968" s="527"/>
      <c r="J968" s="455"/>
      <c r="K968" s="455"/>
      <c r="L968" s="455"/>
      <c r="M968" s="455"/>
      <c r="N968" s="455"/>
      <c r="O968" s="455"/>
      <c r="P968" s="455"/>
      <c r="Q968" s="455"/>
      <c r="R968" s="455"/>
      <c r="S968" s="455"/>
      <c r="T968" s="455"/>
    </row>
    <row r="969" spans="1:20" ht="17.25" customHeight="1">
      <c r="A969" s="454"/>
      <c r="B969" s="454"/>
      <c r="C969" s="454"/>
      <c r="D969" s="454"/>
      <c r="E969" s="454"/>
      <c r="F969" s="454"/>
      <c r="G969" s="454"/>
      <c r="H969" s="454"/>
      <c r="I969" s="527"/>
      <c r="J969" s="455"/>
      <c r="K969" s="455"/>
      <c r="L969" s="455"/>
      <c r="M969" s="455"/>
      <c r="N969" s="455"/>
      <c r="O969" s="455"/>
      <c r="P969" s="455"/>
      <c r="Q969" s="455"/>
      <c r="R969" s="455"/>
      <c r="S969" s="455"/>
      <c r="T969" s="455"/>
    </row>
    <row r="970" spans="1:20" ht="17.25" customHeight="1">
      <c r="A970" s="454"/>
      <c r="B970" s="454"/>
      <c r="C970" s="454"/>
      <c r="D970" s="454"/>
      <c r="E970" s="454"/>
      <c r="F970" s="454"/>
      <c r="G970" s="454"/>
      <c r="H970" s="454"/>
      <c r="I970" s="527"/>
      <c r="J970" s="455"/>
      <c r="K970" s="455"/>
      <c r="L970" s="455"/>
      <c r="M970" s="455"/>
      <c r="N970" s="455"/>
      <c r="O970" s="455"/>
      <c r="P970" s="455"/>
      <c r="Q970" s="455"/>
      <c r="R970" s="455"/>
      <c r="S970" s="455"/>
      <c r="T970" s="455"/>
    </row>
    <row r="971" spans="1:20" ht="17.25" customHeight="1">
      <c r="A971" s="454"/>
      <c r="B971" s="454"/>
      <c r="C971" s="454"/>
      <c r="D971" s="454"/>
      <c r="E971" s="454"/>
      <c r="F971" s="454"/>
      <c r="G971" s="454"/>
      <c r="H971" s="454"/>
      <c r="I971" s="527"/>
      <c r="J971" s="455"/>
      <c r="K971" s="455"/>
      <c r="L971" s="455"/>
      <c r="M971" s="455"/>
      <c r="N971" s="455"/>
      <c r="O971" s="455"/>
      <c r="P971" s="455"/>
      <c r="Q971" s="455"/>
      <c r="R971" s="455"/>
      <c r="S971" s="455"/>
      <c r="T971" s="455"/>
    </row>
    <row r="972" spans="1:20" ht="17.25" customHeight="1">
      <c r="A972" s="454"/>
      <c r="B972" s="454"/>
      <c r="C972" s="454"/>
      <c r="D972" s="454"/>
      <c r="E972" s="454"/>
      <c r="F972" s="454"/>
      <c r="G972" s="454"/>
      <c r="H972" s="454"/>
      <c r="I972" s="527"/>
      <c r="J972" s="455"/>
      <c r="K972" s="455"/>
      <c r="L972" s="455"/>
      <c r="M972" s="455"/>
      <c r="N972" s="455"/>
      <c r="O972" s="455"/>
      <c r="P972" s="455"/>
      <c r="Q972" s="455"/>
      <c r="R972" s="455"/>
      <c r="S972" s="455"/>
      <c r="T972" s="455"/>
    </row>
    <row r="973" spans="1:20" ht="17.25" customHeight="1">
      <c r="A973" s="454"/>
      <c r="B973" s="454"/>
      <c r="C973" s="454"/>
      <c r="D973" s="454"/>
      <c r="E973" s="454"/>
      <c r="F973" s="454"/>
      <c r="G973" s="454"/>
      <c r="H973" s="454"/>
      <c r="I973" s="527"/>
      <c r="J973" s="455"/>
      <c r="K973" s="455"/>
      <c r="L973" s="455"/>
      <c r="M973" s="455"/>
      <c r="N973" s="455"/>
      <c r="O973" s="455"/>
      <c r="P973" s="455"/>
      <c r="Q973" s="455"/>
      <c r="R973" s="455"/>
      <c r="S973" s="455"/>
      <c r="T973" s="455"/>
    </row>
    <row r="974" spans="1:20" ht="17.25" customHeight="1">
      <c r="A974" s="454"/>
      <c r="B974" s="454"/>
      <c r="C974" s="454"/>
      <c r="D974" s="454"/>
      <c r="E974" s="454"/>
      <c r="F974" s="454"/>
      <c r="G974" s="454"/>
      <c r="H974" s="454"/>
      <c r="I974" s="527"/>
      <c r="J974" s="455"/>
      <c r="K974" s="455"/>
      <c r="L974" s="455"/>
      <c r="M974" s="455"/>
      <c r="N974" s="455"/>
      <c r="O974" s="455"/>
      <c r="P974" s="455"/>
      <c r="Q974" s="455"/>
      <c r="R974" s="455"/>
      <c r="S974" s="455"/>
      <c r="T974" s="455"/>
    </row>
    <row r="975" spans="1:20" ht="17.25" customHeight="1">
      <c r="A975" s="454"/>
      <c r="B975" s="454"/>
      <c r="C975" s="454"/>
      <c r="D975" s="454"/>
      <c r="E975" s="454"/>
      <c r="F975" s="454"/>
      <c r="G975" s="454"/>
      <c r="H975" s="454"/>
      <c r="I975" s="527"/>
      <c r="J975" s="455"/>
      <c r="K975" s="455"/>
      <c r="L975" s="455"/>
      <c r="M975" s="455"/>
      <c r="N975" s="455"/>
      <c r="O975" s="455"/>
      <c r="P975" s="455"/>
      <c r="Q975" s="455"/>
      <c r="R975" s="455"/>
      <c r="S975" s="455"/>
      <c r="T975" s="455"/>
    </row>
    <row r="976" spans="1:20" ht="17.25" customHeight="1">
      <c r="A976" s="454"/>
      <c r="B976" s="454"/>
      <c r="C976" s="454"/>
      <c r="D976" s="454"/>
      <c r="E976" s="454"/>
      <c r="F976" s="454"/>
      <c r="G976" s="454"/>
      <c r="H976" s="454"/>
      <c r="I976" s="527"/>
      <c r="J976" s="455"/>
      <c r="K976" s="455"/>
      <c r="L976" s="455"/>
      <c r="M976" s="455"/>
      <c r="N976" s="455"/>
      <c r="O976" s="455"/>
      <c r="P976" s="455"/>
      <c r="Q976" s="455"/>
      <c r="R976" s="455"/>
      <c r="S976" s="455"/>
      <c r="T976" s="455"/>
    </row>
    <row r="977" spans="1:20" ht="17.25" customHeight="1">
      <c r="A977" s="454"/>
      <c r="B977" s="454"/>
      <c r="C977" s="454"/>
      <c r="D977" s="454"/>
      <c r="E977" s="454"/>
      <c r="F977" s="454"/>
      <c r="G977" s="454"/>
      <c r="H977" s="454"/>
      <c r="I977" s="527"/>
      <c r="J977" s="455"/>
      <c r="K977" s="455"/>
      <c r="L977" s="455"/>
      <c r="M977" s="455"/>
      <c r="N977" s="455"/>
      <c r="O977" s="455"/>
      <c r="P977" s="455"/>
      <c r="Q977" s="455"/>
      <c r="R977" s="455"/>
      <c r="S977" s="455"/>
      <c r="T977" s="455"/>
    </row>
    <row r="978" spans="1:20" ht="17.25" customHeight="1">
      <c r="A978" s="454"/>
      <c r="B978" s="454"/>
      <c r="C978" s="454"/>
      <c r="D978" s="454"/>
      <c r="E978" s="454"/>
      <c r="F978" s="454"/>
      <c r="G978" s="454"/>
      <c r="H978" s="454"/>
      <c r="I978" s="527"/>
      <c r="J978" s="455"/>
      <c r="K978" s="455"/>
      <c r="L978" s="455"/>
      <c r="M978" s="455"/>
      <c r="N978" s="455"/>
      <c r="O978" s="455"/>
      <c r="P978" s="455"/>
      <c r="Q978" s="455"/>
      <c r="R978" s="455"/>
      <c r="S978" s="455"/>
      <c r="T978" s="455"/>
    </row>
    <row r="979" spans="1:20" ht="17.25" customHeight="1">
      <c r="A979" s="454"/>
      <c r="B979" s="454"/>
      <c r="C979" s="454"/>
      <c r="D979" s="454"/>
      <c r="E979" s="454"/>
      <c r="F979" s="454"/>
      <c r="G979" s="454"/>
      <c r="H979" s="454"/>
      <c r="I979" s="527"/>
      <c r="J979" s="455"/>
      <c r="K979" s="455"/>
      <c r="L979" s="455"/>
      <c r="M979" s="455"/>
      <c r="N979" s="455"/>
      <c r="O979" s="455"/>
      <c r="P979" s="455"/>
      <c r="Q979" s="455"/>
      <c r="R979" s="455"/>
      <c r="S979" s="455"/>
      <c r="T979" s="455"/>
    </row>
    <row r="980" spans="1:20" ht="17.25" customHeight="1">
      <c r="A980" s="454"/>
      <c r="B980" s="454"/>
      <c r="C980" s="454"/>
      <c r="D980" s="454"/>
      <c r="E980" s="454"/>
      <c r="F980" s="454"/>
      <c r="G980" s="454"/>
      <c r="H980" s="454"/>
      <c r="I980" s="527"/>
      <c r="J980" s="455"/>
      <c r="K980" s="455"/>
      <c r="L980" s="455"/>
      <c r="M980" s="455"/>
      <c r="N980" s="455"/>
      <c r="O980" s="455"/>
      <c r="P980" s="455"/>
      <c r="Q980" s="455"/>
      <c r="R980" s="455"/>
      <c r="S980" s="455"/>
      <c r="T980" s="455"/>
    </row>
    <row r="981" spans="1:20" ht="17.25" customHeight="1">
      <c r="A981" s="456">
        <v>4</v>
      </c>
      <c r="B981" s="457" t="s">
        <v>878</v>
      </c>
      <c r="C981" s="458"/>
      <c r="D981" s="458"/>
      <c r="E981" s="458"/>
      <c r="F981" s="458"/>
      <c r="G981" s="458"/>
      <c r="H981" s="458"/>
      <c r="I981" s="528"/>
      <c r="J981" s="459"/>
      <c r="K981" s="459"/>
      <c r="L981" s="459"/>
      <c r="M981" s="459"/>
      <c r="N981" s="459"/>
      <c r="O981" s="455"/>
      <c r="P981" s="455"/>
      <c r="Q981" s="455"/>
      <c r="R981" s="455"/>
      <c r="S981" s="455"/>
      <c r="T981" s="455"/>
    </row>
    <row r="982" spans="1:20" ht="17.25" customHeight="1">
      <c r="A982" s="454"/>
      <c r="B982" s="458" t="s">
        <v>845</v>
      </c>
      <c r="C982" s="458" t="s">
        <v>846</v>
      </c>
      <c r="D982" s="460">
        <v>58252</v>
      </c>
      <c r="E982" s="460">
        <v>58252</v>
      </c>
      <c r="F982" s="460">
        <v>58252</v>
      </c>
      <c r="G982" s="460">
        <v>58252</v>
      </c>
      <c r="H982" s="460">
        <v>58252</v>
      </c>
      <c r="I982" s="529">
        <v>58252</v>
      </c>
      <c r="J982" s="460">
        <v>59359</v>
      </c>
      <c r="K982" s="460">
        <v>109235</v>
      </c>
      <c r="L982" s="460">
        <v>109235</v>
      </c>
      <c r="M982" s="460">
        <v>109235</v>
      </c>
      <c r="N982" s="460">
        <v>111859</v>
      </c>
      <c r="O982" s="460">
        <v>111859</v>
      </c>
      <c r="P982" s="460">
        <v>111859</v>
      </c>
      <c r="Q982" s="460">
        <v>111859</v>
      </c>
      <c r="R982" s="460">
        <v>111859</v>
      </c>
      <c r="S982" s="460">
        <v>111859</v>
      </c>
      <c r="T982" s="460">
        <v>111859</v>
      </c>
    </row>
    <row r="983" spans="1:20" ht="17.25" customHeight="1">
      <c r="A983" s="454"/>
      <c r="B983" s="458" t="s">
        <v>847</v>
      </c>
      <c r="C983" s="458" t="s">
        <v>846</v>
      </c>
      <c r="D983" s="460">
        <v>23828</v>
      </c>
      <c r="E983" s="460">
        <v>23828</v>
      </c>
      <c r="F983" s="460">
        <v>23828</v>
      </c>
      <c r="G983" s="460">
        <v>23828</v>
      </c>
      <c r="H983" s="460">
        <v>23828</v>
      </c>
      <c r="I983" s="529">
        <v>23828</v>
      </c>
      <c r="J983" s="460">
        <v>23828</v>
      </c>
      <c r="K983" s="460">
        <v>23828</v>
      </c>
      <c r="L983" s="460">
        <v>23828</v>
      </c>
      <c r="M983" s="460">
        <v>23828</v>
      </c>
      <c r="N983" s="460">
        <v>23828</v>
      </c>
      <c r="O983" s="460">
        <v>23828</v>
      </c>
      <c r="P983" s="460">
        <v>23828</v>
      </c>
      <c r="Q983" s="460">
        <v>23828</v>
      </c>
      <c r="R983" s="460">
        <v>23828</v>
      </c>
      <c r="S983" s="460">
        <v>23828</v>
      </c>
      <c r="T983" s="460">
        <v>23828</v>
      </c>
    </row>
    <row r="984" spans="1:20" ht="17.25" customHeight="1">
      <c r="A984" s="454"/>
      <c r="B984" s="458" t="s">
        <v>941</v>
      </c>
      <c r="C984" s="461" t="s">
        <v>846</v>
      </c>
      <c r="D984" s="460">
        <v>3032</v>
      </c>
      <c r="E984" s="460">
        <v>3032</v>
      </c>
      <c r="F984" s="460">
        <v>3032</v>
      </c>
      <c r="G984" s="460">
        <v>3032</v>
      </c>
      <c r="H984" s="460">
        <v>3032</v>
      </c>
      <c r="I984" s="529">
        <v>3032</v>
      </c>
      <c r="J984" s="460">
        <v>3032</v>
      </c>
      <c r="K984" s="460">
        <v>3032</v>
      </c>
      <c r="L984" s="460">
        <v>3032</v>
      </c>
      <c r="M984" s="460">
        <v>3032</v>
      </c>
      <c r="N984" s="460">
        <v>3032</v>
      </c>
      <c r="O984" s="460">
        <v>3032</v>
      </c>
      <c r="P984" s="460">
        <v>3032</v>
      </c>
      <c r="Q984" s="460">
        <v>3032</v>
      </c>
      <c r="R984" s="460">
        <v>3032</v>
      </c>
      <c r="S984" s="460">
        <v>3032</v>
      </c>
      <c r="T984" s="460">
        <v>3032</v>
      </c>
    </row>
    <row r="985" spans="1:20" ht="17.25" customHeight="1">
      <c r="A985" s="454"/>
      <c r="B985" s="462" t="s">
        <v>849</v>
      </c>
      <c r="C985" s="458" t="s">
        <v>107</v>
      </c>
      <c r="D985" s="460">
        <v>42</v>
      </c>
      <c r="E985" s="460">
        <v>42</v>
      </c>
      <c r="F985" s="460">
        <v>42</v>
      </c>
      <c r="G985" s="460">
        <v>42</v>
      </c>
      <c r="H985" s="460">
        <v>42</v>
      </c>
      <c r="I985" s="529">
        <v>42</v>
      </c>
      <c r="J985" s="460">
        <v>42</v>
      </c>
      <c r="K985" s="460">
        <v>42</v>
      </c>
      <c r="L985" s="460">
        <v>42</v>
      </c>
      <c r="M985" s="460">
        <v>42</v>
      </c>
      <c r="N985" s="460">
        <v>42</v>
      </c>
      <c r="O985" s="460">
        <v>42</v>
      </c>
      <c r="P985" s="460">
        <v>42</v>
      </c>
      <c r="Q985" s="460">
        <v>42</v>
      </c>
      <c r="R985" s="460">
        <v>42</v>
      </c>
      <c r="S985" s="460">
        <v>42</v>
      </c>
      <c r="T985" s="460">
        <v>42</v>
      </c>
    </row>
    <row r="986" spans="1:20" ht="17.25" customHeight="1">
      <c r="A986" s="454"/>
      <c r="B986" s="458" t="s">
        <v>850</v>
      </c>
      <c r="C986" s="461" t="s">
        <v>846</v>
      </c>
      <c r="D986" s="460">
        <f>4*48</f>
        <v>192</v>
      </c>
      <c r="E986" s="460">
        <f>4*48</f>
        <v>192</v>
      </c>
      <c r="F986" s="460">
        <f>4*48</f>
        <v>192</v>
      </c>
      <c r="G986" s="460">
        <f>4*48</f>
        <v>192</v>
      </c>
      <c r="H986" s="460">
        <f>4*48</f>
        <v>192</v>
      </c>
      <c r="I986" s="529">
        <f t="shared" ref="I986:T986" si="39">4*48</f>
        <v>192</v>
      </c>
      <c r="J986" s="460">
        <f t="shared" si="39"/>
        <v>192</v>
      </c>
      <c r="K986" s="460">
        <f t="shared" si="39"/>
        <v>192</v>
      </c>
      <c r="L986" s="460">
        <f t="shared" si="39"/>
        <v>192</v>
      </c>
      <c r="M986" s="460">
        <f t="shared" si="39"/>
        <v>192</v>
      </c>
      <c r="N986" s="460">
        <f t="shared" si="39"/>
        <v>192</v>
      </c>
      <c r="O986" s="460">
        <f t="shared" si="39"/>
        <v>192</v>
      </c>
      <c r="P986" s="460">
        <f t="shared" si="39"/>
        <v>192</v>
      </c>
      <c r="Q986" s="460">
        <f t="shared" si="39"/>
        <v>192</v>
      </c>
      <c r="R986" s="460">
        <f t="shared" si="39"/>
        <v>192</v>
      </c>
      <c r="S986" s="460">
        <f t="shared" si="39"/>
        <v>192</v>
      </c>
      <c r="T986" s="460">
        <f t="shared" si="39"/>
        <v>192</v>
      </c>
    </row>
    <row r="987" spans="1:20" ht="17.25" customHeight="1">
      <c r="A987" s="454"/>
      <c r="B987" s="462" t="s">
        <v>851</v>
      </c>
      <c r="C987" s="458" t="s">
        <v>107</v>
      </c>
      <c r="D987" s="460">
        <v>4</v>
      </c>
      <c r="E987" s="460">
        <v>4</v>
      </c>
      <c r="F987" s="460">
        <v>4</v>
      </c>
      <c r="G987" s="460">
        <v>4</v>
      </c>
      <c r="H987" s="460">
        <v>4</v>
      </c>
      <c r="I987" s="529">
        <v>4</v>
      </c>
      <c r="J987" s="460">
        <v>4</v>
      </c>
      <c r="K987" s="460">
        <v>4</v>
      </c>
      <c r="L987" s="460">
        <v>4</v>
      </c>
      <c r="M987" s="460">
        <v>4</v>
      </c>
      <c r="N987" s="460">
        <v>4</v>
      </c>
      <c r="O987" s="460">
        <v>4</v>
      </c>
      <c r="P987" s="460">
        <v>4</v>
      </c>
      <c r="Q987" s="460">
        <v>4</v>
      </c>
      <c r="R987" s="460">
        <v>4</v>
      </c>
      <c r="S987" s="460">
        <v>4</v>
      </c>
      <c r="T987" s="460">
        <v>4</v>
      </c>
    </row>
    <row r="988" spans="1:20" ht="17.25" customHeight="1">
      <c r="A988" s="454"/>
      <c r="B988" s="458" t="s">
        <v>852</v>
      </c>
      <c r="C988" s="461" t="s">
        <v>846</v>
      </c>
      <c r="D988" s="460">
        <v>500</v>
      </c>
      <c r="E988" s="460">
        <v>500</v>
      </c>
      <c r="F988" s="460">
        <v>500</v>
      </c>
      <c r="G988" s="460">
        <v>500</v>
      </c>
      <c r="H988" s="460">
        <v>500</v>
      </c>
      <c r="I988" s="529">
        <v>500</v>
      </c>
      <c r="J988" s="460">
        <v>500</v>
      </c>
      <c r="K988" s="460">
        <v>500</v>
      </c>
      <c r="L988" s="460">
        <v>500</v>
      </c>
      <c r="M988" s="460">
        <v>500</v>
      </c>
      <c r="N988" s="460">
        <v>500</v>
      </c>
      <c r="O988" s="460">
        <v>500</v>
      </c>
      <c r="P988" s="460">
        <v>500</v>
      </c>
      <c r="Q988" s="460">
        <v>500</v>
      </c>
      <c r="R988" s="460">
        <v>500</v>
      </c>
      <c r="S988" s="460">
        <v>500</v>
      </c>
      <c r="T988" s="460">
        <v>500</v>
      </c>
    </row>
    <row r="989" spans="1:20" ht="17.25" customHeight="1">
      <c r="A989" s="454"/>
      <c r="B989" s="462" t="s">
        <v>942</v>
      </c>
      <c r="C989" s="458" t="s">
        <v>943</v>
      </c>
      <c r="D989" s="460">
        <v>1</v>
      </c>
      <c r="E989" s="460">
        <v>1</v>
      </c>
      <c r="F989" s="460">
        <v>1</v>
      </c>
      <c r="G989" s="460">
        <v>1</v>
      </c>
      <c r="H989" s="460">
        <v>1</v>
      </c>
      <c r="I989" s="529">
        <v>1</v>
      </c>
      <c r="J989" s="460">
        <v>1</v>
      </c>
      <c r="K989" s="460">
        <v>1</v>
      </c>
      <c r="L989" s="460">
        <v>1</v>
      </c>
      <c r="M989" s="460">
        <v>1</v>
      </c>
      <c r="N989" s="460">
        <v>1</v>
      </c>
      <c r="O989" s="460">
        <v>1</v>
      </c>
      <c r="P989" s="460">
        <v>1</v>
      </c>
      <c r="Q989" s="460">
        <v>1</v>
      </c>
      <c r="R989" s="460">
        <v>1</v>
      </c>
      <c r="S989" s="460">
        <v>1</v>
      </c>
      <c r="T989" s="460">
        <v>1</v>
      </c>
    </row>
    <row r="990" spans="1:20" ht="17.25" customHeight="1">
      <c r="A990" s="454"/>
      <c r="B990" s="458" t="s">
        <v>944</v>
      </c>
      <c r="C990" s="461" t="s">
        <v>846</v>
      </c>
      <c r="D990" s="460">
        <f t="shared" ref="D990:J990" si="40">1740+384</f>
        <v>2124</v>
      </c>
      <c r="E990" s="460">
        <f t="shared" si="40"/>
        <v>2124</v>
      </c>
      <c r="F990" s="460">
        <f t="shared" si="40"/>
        <v>2124</v>
      </c>
      <c r="G990" s="460">
        <f t="shared" si="40"/>
        <v>2124</v>
      </c>
      <c r="H990" s="460">
        <f t="shared" si="40"/>
        <v>2124</v>
      </c>
      <c r="I990" s="529">
        <f t="shared" si="40"/>
        <v>2124</v>
      </c>
      <c r="J990" s="460">
        <f t="shared" si="40"/>
        <v>2124</v>
      </c>
      <c r="K990" s="460">
        <v>52000</v>
      </c>
      <c r="L990" s="460">
        <v>52000</v>
      </c>
      <c r="M990" s="460">
        <v>52000</v>
      </c>
      <c r="N990" s="460">
        <v>52000</v>
      </c>
      <c r="O990" s="460">
        <v>52000</v>
      </c>
      <c r="P990" s="460">
        <v>52000</v>
      </c>
      <c r="Q990" s="460">
        <v>52000</v>
      </c>
      <c r="R990" s="460">
        <v>52000</v>
      </c>
      <c r="S990" s="460">
        <v>52000</v>
      </c>
      <c r="T990" s="460">
        <v>52000</v>
      </c>
    </row>
    <row r="991" spans="1:20" ht="17.25" customHeight="1">
      <c r="A991" s="454"/>
      <c r="B991" s="462" t="s">
        <v>938</v>
      </c>
      <c r="C991" s="458" t="s">
        <v>939</v>
      </c>
      <c r="D991" s="458">
        <v>5</v>
      </c>
      <c r="E991" s="458">
        <v>5</v>
      </c>
      <c r="F991" s="458">
        <v>5</v>
      </c>
      <c r="G991" s="458">
        <v>5</v>
      </c>
      <c r="H991" s="458">
        <v>5</v>
      </c>
      <c r="I991" s="528">
        <v>5</v>
      </c>
      <c r="J991" s="458">
        <v>5</v>
      </c>
      <c r="K991" s="458">
        <v>5</v>
      </c>
      <c r="L991" s="458">
        <v>5</v>
      </c>
      <c r="M991" s="458">
        <v>5</v>
      </c>
      <c r="N991" s="458">
        <v>5</v>
      </c>
      <c r="O991" s="458">
        <v>5</v>
      </c>
      <c r="P991" s="458">
        <v>5</v>
      </c>
      <c r="Q991" s="458">
        <v>5</v>
      </c>
      <c r="R991" s="458">
        <v>5</v>
      </c>
      <c r="S991" s="458">
        <v>5</v>
      </c>
      <c r="T991" s="458">
        <v>5</v>
      </c>
    </row>
    <row r="992" spans="1:20" ht="17.25" customHeight="1">
      <c r="A992" s="454"/>
      <c r="B992" s="458" t="s">
        <v>854</v>
      </c>
      <c r="C992" s="458"/>
      <c r="D992" s="458">
        <v>20</v>
      </c>
      <c r="E992" s="458">
        <v>20</v>
      </c>
      <c r="F992" s="458">
        <v>20</v>
      </c>
      <c r="G992" s="458">
        <v>20</v>
      </c>
      <c r="H992" s="458">
        <v>20</v>
      </c>
      <c r="I992" s="528">
        <v>20</v>
      </c>
      <c r="J992" s="458">
        <v>20</v>
      </c>
      <c r="K992" s="458">
        <v>20</v>
      </c>
      <c r="L992" s="458">
        <v>20</v>
      </c>
      <c r="M992" s="458">
        <v>20</v>
      </c>
      <c r="N992" s="458">
        <v>20</v>
      </c>
      <c r="O992" s="458">
        <v>20</v>
      </c>
      <c r="P992" s="458">
        <v>20</v>
      </c>
      <c r="Q992" s="458">
        <v>20</v>
      </c>
      <c r="R992" s="458">
        <v>20</v>
      </c>
      <c r="S992" s="458">
        <v>20</v>
      </c>
      <c r="T992" s="458">
        <v>20</v>
      </c>
    </row>
    <row r="993" spans="1:20" ht="17.25" customHeight="1">
      <c r="A993" s="454"/>
      <c r="B993" s="462" t="s">
        <v>855</v>
      </c>
      <c r="C993" s="461" t="s">
        <v>846</v>
      </c>
      <c r="D993" s="460">
        <f>13*15</f>
        <v>195</v>
      </c>
      <c r="E993" s="460">
        <f>13*15</f>
        <v>195</v>
      </c>
      <c r="F993" s="460">
        <f>13*15</f>
        <v>195</v>
      </c>
      <c r="G993" s="460">
        <f>13*15</f>
        <v>195</v>
      </c>
      <c r="H993" s="460">
        <f>13*15</f>
        <v>195</v>
      </c>
      <c r="I993" s="529">
        <f t="shared" ref="I993:T993" si="41">13*15</f>
        <v>195</v>
      </c>
      <c r="J993" s="460">
        <f t="shared" si="41"/>
        <v>195</v>
      </c>
      <c r="K993" s="460">
        <f t="shared" si="41"/>
        <v>195</v>
      </c>
      <c r="L993" s="460">
        <f t="shared" si="41"/>
        <v>195</v>
      </c>
      <c r="M993" s="460">
        <f t="shared" si="41"/>
        <v>195</v>
      </c>
      <c r="N993" s="460">
        <f t="shared" si="41"/>
        <v>195</v>
      </c>
      <c r="O993" s="460">
        <f t="shared" si="41"/>
        <v>195</v>
      </c>
      <c r="P993" s="460">
        <f t="shared" si="41"/>
        <v>195</v>
      </c>
      <c r="Q993" s="460">
        <f t="shared" si="41"/>
        <v>195</v>
      </c>
      <c r="R993" s="460">
        <f t="shared" si="41"/>
        <v>195</v>
      </c>
      <c r="S993" s="460">
        <f t="shared" si="41"/>
        <v>195</v>
      </c>
      <c r="T993" s="460">
        <f t="shared" si="41"/>
        <v>195</v>
      </c>
    </row>
    <row r="994" spans="1:20" ht="17.25" customHeight="1">
      <c r="A994" s="454"/>
      <c r="B994" s="462" t="s">
        <v>851</v>
      </c>
      <c r="C994" s="458" t="s">
        <v>107</v>
      </c>
      <c r="D994" s="460">
        <v>13</v>
      </c>
      <c r="E994" s="460">
        <v>13</v>
      </c>
      <c r="F994" s="460">
        <v>13</v>
      </c>
      <c r="G994" s="460">
        <v>13</v>
      </c>
      <c r="H994" s="460">
        <v>13</v>
      </c>
      <c r="I994" s="529">
        <v>13</v>
      </c>
      <c r="J994" s="460">
        <v>13</v>
      </c>
      <c r="K994" s="460">
        <v>13</v>
      </c>
      <c r="L994" s="460">
        <v>13</v>
      </c>
      <c r="M994" s="460">
        <v>13</v>
      </c>
      <c r="N994" s="460">
        <v>13</v>
      </c>
      <c r="O994" s="460">
        <v>13</v>
      </c>
      <c r="P994" s="460">
        <v>13</v>
      </c>
      <c r="Q994" s="460">
        <v>13</v>
      </c>
      <c r="R994" s="460">
        <v>13</v>
      </c>
      <c r="S994" s="460">
        <v>13</v>
      </c>
      <c r="T994" s="460">
        <v>13</v>
      </c>
    </row>
    <row r="995" spans="1:20" ht="17.25" customHeight="1">
      <c r="A995" s="454"/>
      <c r="B995" s="458" t="s">
        <v>945</v>
      </c>
      <c r="C995" s="461" t="s">
        <v>846</v>
      </c>
      <c r="D995" s="460">
        <v>864</v>
      </c>
      <c r="E995" s="460">
        <v>864</v>
      </c>
      <c r="F995" s="460">
        <v>864</v>
      </c>
      <c r="G995" s="460">
        <v>864</v>
      </c>
      <c r="H995" s="460">
        <v>864</v>
      </c>
      <c r="I995" s="529">
        <v>864</v>
      </c>
      <c r="J995" s="460">
        <v>864</v>
      </c>
      <c r="K995" s="460">
        <v>864</v>
      </c>
      <c r="L995" s="460">
        <v>864</v>
      </c>
      <c r="M995" s="460">
        <v>864</v>
      </c>
      <c r="N995" s="460">
        <v>1500</v>
      </c>
      <c r="O995" s="460">
        <v>1500</v>
      </c>
      <c r="P995" s="460">
        <v>1500</v>
      </c>
      <c r="Q995" s="460">
        <v>1500</v>
      </c>
      <c r="R995" s="460">
        <v>1500</v>
      </c>
      <c r="S995" s="460">
        <v>1500</v>
      </c>
      <c r="T995" s="460">
        <v>1500</v>
      </c>
    </row>
    <row r="996" spans="1:20" ht="17.25" customHeight="1">
      <c r="A996" s="454"/>
      <c r="B996" s="462" t="s">
        <v>851</v>
      </c>
      <c r="C996" s="458" t="s">
        <v>107</v>
      </c>
      <c r="D996" s="460">
        <v>1</v>
      </c>
      <c r="E996" s="460">
        <v>1</v>
      </c>
      <c r="F996" s="460">
        <v>1</v>
      </c>
      <c r="G996" s="460">
        <v>1</v>
      </c>
      <c r="H996" s="460">
        <v>1</v>
      </c>
      <c r="I996" s="529">
        <v>1</v>
      </c>
      <c r="J996" s="460">
        <v>1</v>
      </c>
      <c r="K996" s="460">
        <v>1</v>
      </c>
      <c r="L996" s="460">
        <v>1</v>
      </c>
      <c r="M996" s="460">
        <v>1</v>
      </c>
      <c r="N996" s="460">
        <v>2</v>
      </c>
      <c r="O996" s="460">
        <v>2</v>
      </c>
      <c r="P996" s="460">
        <v>2</v>
      </c>
      <c r="Q996" s="460">
        <v>2</v>
      </c>
      <c r="R996" s="460">
        <v>2</v>
      </c>
      <c r="S996" s="460">
        <v>2</v>
      </c>
      <c r="T996" s="460">
        <v>2</v>
      </c>
    </row>
    <row r="997" spans="1:20" ht="17.25" customHeight="1">
      <c r="A997" s="454"/>
      <c r="B997" s="458" t="s">
        <v>857</v>
      </c>
      <c r="C997" s="461" t="s">
        <v>846</v>
      </c>
      <c r="D997" s="460">
        <v>93</v>
      </c>
      <c r="E997" s="460">
        <v>93</v>
      </c>
      <c r="F997" s="460">
        <v>93</v>
      </c>
      <c r="G997" s="460">
        <v>93</v>
      </c>
      <c r="H997" s="460">
        <v>93</v>
      </c>
      <c r="I997" s="529">
        <v>93</v>
      </c>
      <c r="J997" s="460">
        <v>1200</v>
      </c>
      <c r="K997" s="460">
        <v>93</v>
      </c>
      <c r="L997" s="460">
        <v>93</v>
      </c>
      <c r="M997" s="460">
        <v>93</v>
      </c>
      <c r="N997" s="460">
        <v>93</v>
      </c>
      <c r="O997" s="460">
        <v>93</v>
      </c>
      <c r="P997" s="460">
        <v>93</v>
      </c>
      <c r="Q997" s="460">
        <v>93</v>
      </c>
      <c r="R997" s="460">
        <v>93</v>
      </c>
      <c r="S997" s="460">
        <v>93</v>
      </c>
      <c r="T997" s="460">
        <v>93</v>
      </c>
    </row>
    <row r="998" spans="1:20" ht="17.25" customHeight="1">
      <c r="A998" s="454"/>
      <c r="B998" s="462" t="s">
        <v>851</v>
      </c>
      <c r="C998" s="458" t="s">
        <v>107</v>
      </c>
      <c r="D998" s="460">
        <v>1</v>
      </c>
      <c r="E998" s="460">
        <v>1</v>
      </c>
      <c r="F998" s="460">
        <v>1</v>
      </c>
      <c r="G998" s="460">
        <v>1</v>
      </c>
      <c r="H998" s="460">
        <v>1</v>
      </c>
      <c r="I998" s="529">
        <v>1</v>
      </c>
      <c r="J998" s="460">
        <v>1</v>
      </c>
      <c r="K998" s="460">
        <v>1</v>
      </c>
      <c r="L998" s="460">
        <v>1</v>
      </c>
      <c r="M998" s="460">
        <v>1</v>
      </c>
      <c r="N998" s="460">
        <v>1</v>
      </c>
      <c r="O998" s="460">
        <v>1</v>
      </c>
      <c r="P998" s="460">
        <v>1</v>
      </c>
      <c r="Q998" s="460">
        <v>1</v>
      </c>
      <c r="R998" s="460">
        <v>1</v>
      </c>
      <c r="S998" s="460">
        <v>1</v>
      </c>
      <c r="T998" s="460">
        <v>1</v>
      </c>
    </row>
    <row r="999" spans="1:20" ht="17.25" customHeight="1">
      <c r="A999" s="454"/>
      <c r="B999" s="458" t="s">
        <v>858</v>
      </c>
      <c r="C999" s="461" t="s">
        <v>846</v>
      </c>
      <c r="D999" s="460">
        <v>663</v>
      </c>
      <c r="E999" s="460">
        <v>663</v>
      </c>
      <c r="F999" s="460">
        <v>663</v>
      </c>
      <c r="G999" s="460">
        <v>663</v>
      </c>
      <c r="H999" s="460">
        <v>663</v>
      </c>
      <c r="I999" s="529">
        <v>663</v>
      </c>
      <c r="J999" s="460">
        <v>663</v>
      </c>
      <c r="K999" s="460">
        <v>663</v>
      </c>
      <c r="L999" s="460">
        <v>663</v>
      </c>
      <c r="M999" s="460">
        <v>663</v>
      </c>
      <c r="N999" s="460">
        <v>663</v>
      </c>
      <c r="O999" s="460">
        <v>663</v>
      </c>
      <c r="P999" s="460">
        <v>663</v>
      </c>
      <c r="Q999" s="460">
        <v>663</v>
      </c>
      <c r="R999" s="460">
        <v>663</v>
      </c>
      <c r="S999" s="460">
        <v>663</v>
      </c>
      <c r="T999" s="460">
        <v>663</v>
      </c>
    </row>
    <row r="1000" spans="1:20" ht="17.25" customHeight="1">
      <c r="A1000" s="454"/>
      <c r="B1000" s="462" t="s">
        <v>946</v>
      </c>
      <c r="C1000" s="458" t="s">
        <v>107</v>
      </c>
      <c r="D1000" s="460">
        <v>21</v>
      </c>
      <c r="E1000" s="460">
        <v>21</v>
      </c>
      <c r="F1000" s="460">
        <v>21</v>
      </c>
      <c r="G1000" s="460">
        <v>21</v>
      </c>
      <c r="H1000" s="460">
        <v>21</v>
      </c>
      <c r="I1000" s="529">
        <v>21</v>
      </c>
      <c r="J1000" s="460">
        <v>21</v>
      </c>
      <c r="K1000" s="460">
        <v>21</v>
      </c>
      <c r="L1000" s="460">
        <v>21</v>
      </c>
      <c r="M1000" s="460">
        <v>21</v>
      </c>
      <c r="N1000" s="460">
        <v>21</v>
      </c>
      <c r="O1000" s="460">
        <v>21</v>
      </c>
      <c r="P1000" s="460">
        <v>21</v>
      </c>
      <c r="Q1000" s="460">
        <v>21</v>
      </c>
      <c r="R1000" s="460">
        <v>21</v>
      </c>
      <c r="S1000" s="460">
        <v>21</v>
      </c>
      <c r="T1000" s="460">
        <v>21</v>
      </c>
    </row>
    <row r="1001" spans="1:20" ht="17.25" customHeight="1">
      <c r="A1001" s="454"/>
      <c r="B1001" s="458" t="s">
        <v>860</v>
      </c>
      <c r="C1001" s="461" t="s">
        <v>846</v>
      </c>
      <c r="D1001" s="460">
        <v>2412</v>
      </c>
      <c r="E1001" s="460">
        <v>2412</v>
      </c>
      <c r="F1001" s="460">
        <v>2412</v>
      </c>
      <c r="G1001" s="460">
        <v>2412</v>
      </c>
      <c r="H1001" s="460">
        <v>2412</v>
      </c>
      <c r="I1001" s="529">
        <v>2412</v>
      </c>
      <c r="J1001" s="460">
        <v>2412</v>
      </c>
      <c r="K1001" s="460">
        <v>2412</v>
      </c>
      <c r="L1001" s="460">
        <v>2412</v>
      </c>
      <c r="M1001" s="460">
        <v>2412</v>
      </c>
      <c r="N1001" s="460">
        <v>4400</v>
      </c>
      <c r="O1001" s="460">
        <v>4400</v>
      </c>
      <c r="P1001" s="460">
        <v>4400</v>
      </c>
      <c r="Q1001" s="460">
        <v>4400</v>
      </c>
      <c r="R1001" s="460">
        <v>4400</v>
      </c>
      <c r="S1001" s="460">
        <v>4400</v>
      </c>
      <c r="T1001" s="460">
        <v>4400</v>
      </c>
    </row>
    <row r="1002" spans="1:20" ht="17.25" customHeight="1">
      <c r="A1002" s="454"/>
      <c r="B1002" s="462" t="s">
        <v>861</v>
      </c>
      <c r="C1002" s="458" t="s">
        <v>107</v>
      </c>
      <c r="D1002" s="460">
        <v>54</v>
      </c>
      <c r="E1002" s="460">
        <v>54</v>
      </c>
      <c r="F1002" s="460">
        <v>54</v>
      </c>
      <c r="G1002" s="460">
        <v>54</v>
      </c>
      <c r="H1002" s="460">
        <v>54</v>
      </c>
      <c r="I1002" s="529">
        <v>54</v>
      </c>
      <c r="J1002" s="460">
        <v>54</v>
      </c>
      <c r="K1002" s="460">
        <v>54</v>
      </c>
      <c r="L1002" s="460">
        <v>54</v>
      </c>
      <c r="M1002" s="460">
        <v>54</v>
      </c>
      <c r="N1002" s="460">
        <v>80</v>
      </c>
      <c r="O1002" s="460">
        <v>80</v>
      </c>
      <c r="P1002" s="460">
        <v>80</v>
      </c>
      <c r="Q1002" s="460">
        <v>80</v>
      </c>
      <c r="R1002" s="460">
        <v>80</v>
      </c>
      <c r="S1002" s="460">
        <v>80</v>
      </c>
      <c r="T1002" s="460">
        <v>80</v>
      </c>
    </row>
    <row r="1003" spans="1:20" ht="17.25" customHeight="1">
      <c r="A1003" s="498" t="s">
        <v>756</v>
      </c>
      <c r="B1003" s="463" t="s">
        <v>132</v>
      </c>
      <c r="C1003" s="454"/>
      <c r="D1003" s="454"/>
      <c r="E1003" s="454"/>
      <c r="F1003" s="454"/>
      <c r="G1003" s="454"/>
      <c r="H1003" s="454"/>
      <c r="I1003" s="527"/>
      <c r="J1003" s="455"/>
      <c r="K1003" s="455"/>
      <c r="L1003" s="455"/>
      <c r="M1003" s="455"/>
      <c r="N1003" s="455"/>
      <c r="O1003" s="455"/>
      <c r="P1003" s="455"/>
      <c r="Q1003" s="455"/>
      <c r="R1003" s="455"/>
      <c r="S1003" s="455"/>
      <c r="T1003" s="455"/>
    </row>
    <row r="1004" spans="1:20" ht="17.25" customHeight="1">
      <c r="A1004" s="498">
        <v>1</v>
      </c>
      <c r="B1004" s="456" t="s">
        <v>882</v>
      </c>
      <c r="C1004" s="454"/>
      <c r="D1004" s="456">
        <f>D1005+D1006</f>
        <v>21700</v>
      </c>
      <c r="E1004" s="456">
        <f t="shared" ref="E1004:T1004" si="42">E1005+E1006</f>
        <v>29290</v>
      </c>
      <c r="F1004" s="456">
        <f t="shared" si="42"/>
        <v>40200</v>
      </c>
      <c r="G1004" s="456">
        <f t="shared" si="42"/>
        <v>28100</v>
      </c>
      <c r="H1004" s="456">
        <f t="shared" si="42"/>
        <v>39270</v>
      </c>
      <c r="I1004" s="530">
        <f t="shared" si="42"/>
        <v>34730</v>
      </c>
      <c r="J1004" s="456">
        <f t="shared" si="42"/>
        <v>26900</v>
      </c>
      <c r="K1004" s="456">
        <f t="shared" si="42"/>
        <v>42000</v>
      </c>
      <c r="L1004" s="456">
        <f t="shared" si="42"/>
        <v>43000</v>
      </c>
      <c r="M1004" s="456">
        <f t="shared" si="42"/>
        <v>35000</v>
      </c>
      <c r="N1004" s="456">
        <f t="shared" si="42"/>
        <v>41000</v>
      </c>
      <c r="O1004" s="456">
        <f t="shared" si="42"/>
        <v>68000</v>
      </c>
      <c r="P1004" s="456">
        <f t="shared" si="42"/>
        <v>40000</v>
      </c>
      <c r="Q1004" s="456">
        <f t="shared" si="42"/>
        <v>62000</v>
      </c>
      <c r="R1004" s="456">
        <f t="shared" si="42"/>
        <v>44000</v>
      </c>
      <c r="S1004" s="456">
        <f t="shared" si="42"/>
        <v>61000</v>
      </c>
      <c r="T1004" s="456">
        <f t="shared" si="42"/>
        <v>71000</v>
      </c>
    </row>
    <row r="1005" spans="1:20" ht="17.25" customHeight="1">
      <c r="A1005" s="454"/>
      <c r="B1005" s="464" t="s">
        <v>62</v>
      </c>
      <c r="C1005" s="454" t="s">
        <v>116</v>
      </c>
      <c r="D1005" s="454">
        <v>19000</v>
      </c>
      <c r="E1005" s="454">
        <v>22500</v>
      </c>
      <c r="F1005" s="454">
        <v>27500</v>
      </c>
      <c r="G1005" s="454">
        <v>27100</v>
      </c>
      <c r="H1005" s="454">
        <v>35700</v>
      </c>
      <c r="I1005" s="527">
        <v>34000</v>
      </c>
      <c r="J1005" s="454">
        <v>26900</v>
      </c>
      <c r="K1005" s="454">
        <v>30000</v>
      </c>
      <c r="L1005" s="454">
        <v>32000</v>
      </c>
      <c r="M1005" s="454">
        <v>35000</v>
      </c>
      <c r="N1005" s="454">
        <v>36000</v>
      </c>
      <c r="O1005" s="454">
        <v>38000</v>
      </c>
      <c r="P1005" s="454">
        <v>40000</v>
      </c>
      <c r="Q1005" s="454">
        <v>42000</v>
      </c>
      <c r="R1005" s="454">
        <v>44000</v>
      </c>
      <c r="S1005" s="454">
        <v>46000</v>
      </c>
      <c r="T1005" s="454">
        <v>56000</v>
      </c>
    </row>
    <row r="1006" spans="1:20" ht="17.25" customHeight="1">
      <c r="A1006" s="454"/>
      <c r="B1006" s="465" t="s">
        <v>947</v>
      </c>
      <c r="C1006" s="454" t="s">
        <v>116</v>
      </c>
      <c r="D1006" s="454">
        <v>2700</v>
      </c>
      <c r="E1006" s="454">
        <v>6790</v>
      </c>
      <c r="F1006" s="454">
        <v>12700</v>
      </c>
      <c r="G1006" s="454">
        <v>1000</v>
      </c>
      <c r="H1006" s="454">
        <v>3570</v>
      </c>
      <c r="I1006" s="527">
        <v>730</v>
      </c>
      <c r="J1006" s="454"/>
      <c r="K1006" s="454">
        <v>12000</v>
      </c>
      <c r="L1006" s="454">
        <v>11000</v>
      </c>
      <c r="M1006" s="454"/>
      <c r="N1006" s="454">
        <v>5000</v>
      </c>
      <c r="O1006" s="454">
        <v>30000</v>
      </c>
      <c r="P1006" s="454"/>
      <c r="Q1006" s="454">
        <v>20000</v>
      </c>
      <c r="R1006" s="454"/>
      <c r="S1006" s="454">
        <v>15000</v>
      </c>
      <c r="T1006" s="454">
        <v>15000</v>
      </c>
    </row>
    <row r="1007" spans="1:20" s="469" customFormat="1" ht="17.25" customHeight="1">
      <c r="A1007" s="466">
        <v>2</v>
      </c>
      <c r="B1007" s="467" t="s">
        <v>909</v>
      </c>
      <c r="C1007" s="454" t="s">
        <v>116</v>
      </c>
      <c r="D1007" s="468">
        <f>D1008+D1009</f>
        <v>11292</v>
      </c>
      <c r="E1007" s="468">
        <f t="shared" ref="E1007:T1007" si="43">E1008+E1009</f>
        <v>14438</v>
      </c>
      <c r="F1007" s="468">
        <f t="shared" si="43"/>
        <v>15358</v>
      </c>
      <c r="G1007" s="468">
        <f t="shared" si="43"/>
        <v>15506</v>
      </c>
      <c r="H1007" s="468">
        <f t="shared" si="43"/>
        <v>20300</v>
      </c>
      <c r="I1007" s="531">
        <f t="shared" si="43"/>
        <v>18947</v>
      </c>
      <c r="J1007" s="468">
        <f t="shared" si="43"/>
        <v>17367</v>
      </c>
      <c r="K1007" s="468">
        <f t="shared" si="43"/>
        <v>20840</v>
      </c>
      <c r="L1007" s="468">
        <f t="shared" si="43"/>
        <v>25000</v>
      </c>
      <c r="M1007" s="468">
        <f t="shared" si="43"/>
        <v>30010</v>
      </c>
      <c r="N1007" s="468">
        <f t="shared" si="43"/>
        <v>36000</v>
      </c>
      <c r="O1007" s="468">
        <f t="shared" si="43"/>
        <v>43200</v>
      </c>
      <c r="P1007" s="468">
        <f t="shared" si="43"/>
        <v>51840</v>
      </c>
      <c r="Q1007" s="468">
        <f t="shared" si="43"/>
        <v>62200</v>
      </c>
      <c r="R1007" s="468">
        <f t="shared" si="43"/>
        <v>74640</v>
      </c>
      <c r="S1007" s="468">
        <f t="shared" si="43"/>
        <v>89500</v>
      </c>
      <c r="T1007" s="468">
        <f t="shared" si="43"/>
        <v>223000</v>
      </c>
    </row>
    <row r="1008" spans="1:20" s="296" customFormat="1" ht="17.25" customHeight="1">
      <c r="A1008" s="471"/>
      <c r="B1008" s="470" t="s">
        <v>62</v>
      </c>
      <c r="C1008" s="471" t="s">
        <v>116</v>
      </c>
      <c r="D1008" s="472">
        <v>10342</v>
      </c>
      <c r="E1008" s="472">
        <v>13888</v>
      </c>
      <c r="F1008" s="472">
        <v>13708</v>
      </c>
      <c r="G1008" s="472">
        <v>13706</v>
      </c>
      <c r="H1008" s="472">
        <v>16667</v>
      </c>
      <c r="I1008" s="532">
        <v>15697</v>
      </c>
      <c r="J1008" s="472">
        <v>14567</v>
      </c>
      <c r="K1008" s="472">
        <v>17340</v>
      </c>
      <c r="L1008" s="472">
        <v>21000</v>
      </c>
      <c r="M1008" s="472">
        <v>25010</v>
      </c>
      <c r="N1008" s="472">
        <v>30000</v>
      </c>
      <c r="O1008" s="472">
        <v>36000</v>
      </c>
      <c r="P1008" s="472">
        <v>43200</v>
      </c>
      <c r="Q1008" s="472">
        <v>51832</v>
      </c>
      <c r="R1008" s="472">
        <v>62198</v>
      </c>
      <c r="S1008" s="472">
        <v>74570</v>
      </c>
      <c r="T1008" s="472">
        <v>185848</v>
      </c>
    </row>
    <row r="1009" spans="1:20" s="296" customFormat="1" ht="17.25" customHeight="1">
      <c r="A1009" s="471"/>
      <c r="B1009" s="473" t="s">
        <v>947</v>
      </c>
      <c r="C1009" s="471" t="s">
        <v>116</v>
      </c>
      <c r="D1009" s="471">
        <v>950</v>
      </c>
      <c r="E1009" s="471">
        <v>550</v>
      </c>
      <c r="F1009" s="471">
        <v>1650</v>
      </c>
      <c r="G1009" s="471">
        <v>1800</v>
      </c>
      <c r="H1009" s="471">
        <v>3633</v>
      </c>
      <c r="I1009" s="533">
        <v>3250</v>
      </c>
      <c r="J1009" s="474">
        <v>2800</v>
      </c>
      <c r="K1009" s="474">
        <v>3500</v>
      </c>
      <c r="L1009" s="474">
        <v>4000</v>
      </c>
      <c r="M1009" s="474">
        <v>5000</v>
      </c>
      <c r="N1009" s="474">
        <v>6000</v>
      </c>
      <c r="O1009" s="474">
        <v>7200</v>
      </c>
      <c r="P1009" s="474">
        <v>8640</v>
      </c>
      <c r="Q1009" s="474">
        <v>10368</v>
      </c>
      <c r="R1009" s="474">
        <v>12442</v>
      </c>
      <c r="S1009" s="474">
        <v>14930</v>
      </c>
      <c r="T1009" s="474">
        <v>37152</v>
      </c>
    </row>
    <row r="1010" spans="1:20" ht="17.25" customHeight="1">
      <c r="A1010" s="475">
        <v>3</v>
      </c>
      <c r="B1010" s="457" t="s">
        <v>936</v>
      </c>
      <c r="C1010" s="454"/>
      <c r="D1010" s="476">
        <f>D1011+D1012</f>
        <v>6548</v>
      </c>
      <c r="E1010" s="476">
        <f t="shared" ref="E1010:T1010" si="44">E1011+E1012</f>
        <v>16874</v>
      </c>
      <c r="F1010" s="476">
        <f t="shared" si="44"/>
        <v>14363</v>
      </c>
      <c r="G1010" s="476">
        <f t="shared" si="44"/>
        <v>16499</v>
      </c>
      <c r="H1010" s="476">
        <f t="shared" si="44"/>
        <v>17098</v>
      </c>
      <c r="I1010" s="534">
        <f t="shared" si="44"/>
        <v>14089</v>
      </c>
      <c r="J1010" s="476">
        <f t="shared" si="44"/>
        <v>7886</v>
      </c>
      <c r="K1010" s="476">
        <f t="shared" si="44"/>
        <v>23675</v>
      </c>
      <c r="L1010" s="476">
        <f t="shared" si="44"/>
        <v>14542</v>
      </c>
      <c r="M1010" s="476">
        <f t="shared" si="44"/>
        <v>15496</v>
      </c>
      <c r="N1010" s="476">
        <f t="shared" si="44"/>
        <v>15546</v>
      </c>
      <c r="O1010" s="476">
        <f t="shared" si="44"/>
        <v>16900</v>
      </c>
      <c r="P1010" s="476">
        <f t="shared" si="44"/>
        <v>18390</v>
      </c>
      <c r="Q1010" s="476">
        <f t="shared" si="44"/>
        <v>18030</v>
      </c>
      <c r="R1010" s="476">
        <f t="shared" si="44"/>
        <v>19830</v>
      </c>
      <c r="S1010" s="476">
        <f t="shared" si="44"/>
        <v>21800</v>
      </c>
      <c r="T1010" s="476">
        <f t="shared" si="44"/>
        <v>33000</v>
      </c>
    </row>
    <row r="1011" spans="1:20" ht="17.25" customHeight="1">
      <c r="A1011" s="454"/>
      <c r="B1011" s="464" t="s">
        <v>62</v>
      </c>
      <c r="C1011" s="454" t="s">
        <v>116</v>
      </c>
      <c r="D1011" s="477">
        <v>6548</v>
      </c>
      <c r="E1011" s="477">
        <v>9848</v>
      </c>
      <c r="F1011" s="477">
        <v>11081</v>
      </c>
      <c r="G1011" s="477">
        <v>11099</v>
      </c>
      <c r="H1011" s="477">
        <v>17098</v>
      </c>
      <c r="I1011" s="535">
        <v>12689</v>
      </c>
      <c r="J1011" s="478">
        <v>7886</v>
      </c>
      <c r="K1011" s="477">
        <v>8675</v>
      </c>
      <c r="L1011" s="477">
        <v>12542</v>
      </c>
      <c r="M1011" s="477">
        <v>13496</v>
      </c>
      <c r="N1011" s="477">
        <v>13546</v>
      </c>
      <c r="O1011" s="477">
        <v>14900</v>
      </c>
      <c r="P1011" s="477">
        <v>16390</v>
      </c>
      <c r="Q1011" s="477">
        <v>18030</v>
      </c>
      <c r="R1011" s="477">
        <v>19830</v>
      </c>
      <c r="S1011" s="477">
        <v>21800</v>
      </c>
      <c r="T1011" s="477">
        <v>33000</v>
      </c>
    </row>
    <row r="1012" spans="1:20" ht="17.25" customHeight="1">
      <c r="A1012" s="454"/>
      <c r="B1012" s="465" t="s">
        <v>947</v>
      </c>
      <c r="C1012" s="454" t="s">
        <v>116</v>
      </c>
      <c r="D1012" s="477">
        <v>0</v>
      </c>
      <c r="E1012" s="477">
        <v>7026</v>
      </c>
      <c r="F1012" s="477">
        <v>3282</v>
      </c>
      <c r="G1012" s="477">
        <v>5400</v>
      </c>
      <c r="H1012" s="477">
        <v>0</v>
      </c>
      <c r="I1012" s="535">
        <v>1400</v>
      </c>
      <c r="J1012" s="479"/>
      <c r="K1012" s="477">
        <v>15000</v>
      </c>
      <c r="L1012" s="477">
        <v>2000</v>
      </c>
      <c r="M1012" s="477">
        <v>2000</v>
      </c>
      <c r="N1012" s="477">
        <v>2000</v>
      </c>
      <c r="O1012" s="477">
        <v>2000</v>
      </c>
      <c r="P1012" s="477">
        <v>2000</v>
      </c>
      <c r="Q1012" s="477"/>
      <c r="R1012" s="477"/>
      <c r="S1012" s="477"/>
      <c r="T1012" s="477"/>
    </row>
    <row r="1013" spans="1:20" ht="17.25" customHeight="1">
      <c r="A1013" s="456">
        <v>4</v>
      </c>
      <c r="B1013" s="457" t="s">
        <v>878</v>
      </c>
      <c r="C1013" s="454" t="s">
        <v>116</v>
      </c>
      <c r="D1013" s="480">
        <f>SUM(D1014:D1015)</f>
        <v>10075</v>
      </c>
      <c r="E1013" s="480">
        <f t="shared" ref="E1013:T1013" si="45">SUM(E1014:E1015)</f>
        <v>6944</v>
      </c>
      <c r="F1013" s="480">
        <f t="shared" si="45"/>
        <v>18555</v>
      </c>
      <c r="G1013" s="480">
        <f t="shared" si="45"/>
        <v>15263</v>
      </c>
      <c r="H1013" s="480">
        <f t="shared" si="45"/>
        <v>17118</v>
      </c>
      <c r="I1013" s="536">
        <f t="shared" si="45"/>
        <v>18929.400000000001</v>
      </c>
      <c r="J1013" s="480">
        <f t="shared" si="45"/>
        <v>11524</v>
      </c>
      <c r="K1013" s="480">
        <f t="shared" si="45"/>
        <v>21500</v>
      </c>
      <c r="L1013" s="480">
        <f t="shared" si="45"/>
        <v>23100</v>
      </c>
      <c r="M1013" s="480">
        <f t="shared" si="45"/>
        <v>20815</v>
      </c>
      <c r="N1013" s="480">
        <f t="shared" si="45"/>
        <v>22896.5</v>
      </c>
      <c r="O1013" s="480">
        <f t="shared" si="45"/>
        <v>25186.15</v>
      </c>
      <c r="P1013" s="480">
        <f t="shared" si="45"/>
        <v>28964.072500000002</v>
      </c>
      <c r="Q1013" s="480">
        <f t="shared" si="45"/>
        <v>33308.683375000001</v>
      </c>
      <c r="R1013" s="480">
        <f t="shared" si="45"/>
        <v>38304.985881249995</v>
      </c>
      <c r="S1013" s="480">
        <f t="shared" si="45"/>
        <v>44050.733763437493</v>
      </c>
      <c r="T1013" s="480">
        <f t="shared" si="45"/>
        <v>52860.880516124991</v>
      </c>
    </row>
    <row r="1014" spans="1:20" ht="17.25" customHeight="1">
      <c r="A1014" s="454"/>
      <c r="B1014" s="464" t="s">
        <v>62</v>
      </c>
      <c r="C1014" s="454" t="s">
        <v>116</v>
      </c>
      <c r="D1014" s="481">
        <v>10075</v>
      </c>
      <c r="E1014" s="481">
        <v>6944</v>
      </c>
      <c r="F1014" s="481">
        <v>18555</v>
      </c>
      <c r="G1014" s="481">
        <v>15263</v>
      </c>
      <c r="H1014" s="481">
        <v>17118</v>
      </c>
      <c r="I1014" s="537">
        <v>18929.400000000001</v>
      </c>
      <c r="J1014" s="481">
        <v>11524</v>
      </c>
      <c r="K1014" s="482">
        <v>16500</v>
      </c>
      <c r="L1014" s="482">
        <v>18100</v>
      </c>
      <c r="M1014" s="482">
        <v>20815</v>
      </c>
      <c r="N1014" s="482">
        <v>22896.5</v>
      </c>
      <c r="O1014" s="482">
        <v>25186.15</v>
      </c>
      <c r="P1014" s="482">
        <v>28964.072500000002</v>
      </c>
      <c r="Q1014" s="482">
        <v>33308.683375000001</v>
      </c>
      <c r="R1014" s="482">
        <v>38304.985881249995</v>
      </c>
      <c r="S1014" s="482">
        <v>44050.733763437493</v>
      </c>
      <c r="T1014" s="482">
        <v>52860.880516124991</v>
      </c>
    </row>
    <row r="1015" spans="1:20" ht="17.25" customHeight="1">
      <c r="A1015" s="454"/>
      <c r="B1015" s="465" t="s">
        <v>947</v>
      </c>
      <c r="C1015" s="454"/>
      <c r="D1015" s="483"/>
      <c r="E1015" s="483"/>
      <c r="F1015" s="483"/>
      <c r="G1015" s="483"/>
      <c r="H1015" s="483"/>
      <c r="I1015" s="538"/>
      <c r="J1015" s="484"/>
      <c r="K1015" s="485">
        <v>5000</v>
      </c>
      <c r="L1015" s="485">
        <v>5000</v>
      </c>
      <c r="M1015" s="485"/>
      <c r="N1015" s="485"/>
      <c r="O1015" s="485"/>
      <c r="P1015" s="485"/>
      <c r="Q1015" s="485"/>
      <c r="R1015" s="485"/>
      <c r="S1015" s="485"/>
      <c r="T1015" s="485"/>
    </row>
    <row r="1016" spans="1:20" ht="18" customHeight="1">
      <c r="C1016" s="300"/>
      <c r="D1016" s="300"/>
      <c r="E1016" s="300"/>
      <c r="F1016" s="300"/>
      <c r="G1016" s="300"/>
      <c r="H1016" s="300"/>
      <c r="I1016" s="539"/>
    </row>
    <row r="1017" spans="1:20" ht="18" customHeight="1">
      <c r="B1017" s="300" t="s">
        <v>71</v>
      </c>
      <c r="C1017" s="300"/>
      <c r="D1017" s="300"/>
      <c r="E1017" s="300"/>
      <c r="F1017" s="300"/>
      <c r="G1017" s="300"/>
      <c r="H1017" s="300"/>
      <c r="I1017" s="539"/>
    </row>
    <row r="1018" spans="1:20" ht="18" customHeight="1">
      <c r="C1018" s="300"/>
      <c r="D1018" s="300"/>
      <c r="E1018" s="300"/>
      <c r="F1018" s="300"/>
      <c r="G1018" s="300"/>
      <c r="H1018" s="300"/>
      <c r="I1018" s="539"/>
    </row>
    <row r="1019" spans="1:20" ht="18" customHeight="1">
      <c r="C1019" s="300"/>
      <c r="D1019" s="300"/>
      <c r="E1019" s="300"/>
      <c r="F1019" s="300"/>
      <c r="G1019" s="300"/>
      <c r="H1019" s="300"/>
      <c r="I1019" s="539"/>
    </row>
    <row r="1020" spans="1:20" ht="18" customHeight="1">
      <c r="C1020" s="300"/>
      <c r="D1020" s="300"/>
      <c r="E1020" s="300"/>
      <c r="F1020" s="300"/>
      <c r="G1020" s="300"/>
      <c r="H1020" s="300"/>
      <c r="I1020" s="539"/>
    </row>
    <row r="1021" spans="1:20" ht="18" customHeight="1">
      <c r="C1021" s="300"/>
      <c r="D1021" s="300"/>
      <c r="E1021" s="300"/>
      <c r="F1021" s="300"/>
      <c r="G1021" s="300"/>
      <c r="H1021" s="300"/>
      <c r="I1021" s="539"/>
    </row>
    <row r="1022" spans="1:20" ht="18" customHeight="1">
      <c r="C1022" s="300"/>
      <c r="D1022" s="300"/>
      <c r="E1022" s="300"/>
      <c r="F1022" s="300"/>
      <c r="G1022" s="300"/>
      <c r="H1022" s="300"/>
      <c r="I1022" s="539"/>
    </row>
    <row r="1023" spans="1:20" ht="18" customHeight="1">
      <c r="C1023" s="300"/>
      <c r="D1023" s="300"/>
      <c r="E1023" s="300"/>
      <c r="F1023" s="300"/>
      <c r="G1023" s="300"/>
      <c r="H1023" s="300"/>
      <c r="I1023" s="539"/>
    </row>
    <row r="1024" spans="1:20" ht="18" customHeight="1">
      <c r="C1024" s="300"/>
      <c r="D1024" s="300"/>
      <c r="E1024" s="300"/>
      <c r="F1024" s="300"/>
      <c r="G1024" s="300"/>
      <c r="H1024" s="300"/>
      <c r="I1024" s="539"/>
    </row>
    <row r="1025" spans="3:9" ht="18" customHeight="1">
      <c r="C1025" s="300"/>
      <c r="D1025" s="300"/>
      <c r="E1025" s="300"/>
      <c r="F1025" s="300"/>
      <c r="G1025" s="300"/>
      <c r="H1025" s="300"/>
      <c r="I1025" s="539"/>
    </row>
    <row r="1026" spans="3:9" ht="18" customHeight="1">
      <c r="C1026" s="300"/>
      <c r="D1026" s="300"/>
      <c r="E1026" s="300"/>
      <c r="F1026" s="300"/>
      <c r="G1026" s="300"/>
      <c r="H1026" s="300"/>
      <c r="I1026" s="539"/>
    </row>
    <row r="1027" spans="3:9" ht="18" customHeight="1">
      <c r="C1027" s="300"/>
      <c r="D1027" s="300"/>
      <c r="E1027" s="300"/>
      <c r="F1027" s="300"/>
      <c r="G1027" s="300"/>
      <c r="H1027" s="300"/>
      <c r="I1027" s="539"/>
    </row>
    <row r="1028" spans="3:9" ht="18" customHeight="1">
      <c r="C1028" s="300"/>
      <c r="D1028" s="300"/>
      <c r="E1028" s="300"/>
      <c r="F1028" s="300"/>
      <c r="G1028" s="300"/>
      <c r="H1028" s="300"/>
      <c r="I1028" s="539"/>
    </row>
    <row r="1029" spans="3:9" ht="18" customHeight="1">
      <c r="C1029" s="300"/>
      <c r="D1029" s="300"/>
      <c r="E1029" s="300"/>
      <c r="F1029" s="300"/>
      <c r="G1029" s="300"/>
      <c r="H1029" s="300"/>
      <c r="I1029" s="539"/>
    </row>
    <row r="1030" spans="3:9" ht="18" customHeight="1">
      <c r="C1030" s="300"/>
      <c r="D1030" s="300"/>
      <c r="E1030" s="300"/>
      <c r="F1030" s="300"/>
      <c r="G1030" s="300"/>
      <c r="H1030" s="300"/>
      <c r="I1030" s="539"/>
    </row>
    <row r="1031" spans="3:9" ht="18" customHeight="1">
      <c r="C1031" s="300"/>
      <c r="D1031" s="300"/>
      <c r="E1031" s="300"/>
      <c r="F1031" s="300"/>
      <c r="G1031" s="300"/>
      <c r="H1031" s="300"/>
      <c r="I1031" s="539"/>
    </row>
    <row r="1032" spans="3:9" ht="18" customHeight="1">
      <c r="C1032" s="300"/>
      <c r="D1032" s="300"/>
      <c r="E1032" s="300"/>
      <c r="F1032" s="300"/>
      <c r="G1032" s="300"/>
      <c r="H1032" s="300"/>
      <c r="I1032" s="539"/>
    </row>
    <row r="1033" spans="3:9" ht="18" customHeight="1">
      <c r="C1033" s="300"/>
      <c r="D1033" s="300"/>
      <c r="E1033" s="300"/>
      <c r="F1033" s="300"/>
      <c r="G1033" s="300"/>
      <c r="H1033" s="300"/>
      <c r="I1033" s="539"/>
    </row>
    <row r="1034" spans="3:9" ht="18" customHeight="1">
      <c r="C1034" s="300"/>
      <c r="D1034" s="300"/>
      <c r="E1034" s="300"/>
      <c r="F1034" s="300"/>
      <c r="G1034" s="300"/>
      <c r="H1034" s="300"/>
      <c r="I1034" s="539"/>
    </row>
    <row r="1035" spans="3:9" ht="18" customHeight="1">
      <c r="C1035" s="300"/>
      <c r="D1035" s="300"/>
      <c r="E1035" s="300"/>
      <c r="F1035" s="300"/>
      <c r="G1035" s="300"/>
      <c r="H1035" s="300"/>
      <c r="I1035" s="539"/>
    </row>
    <row r="1036" spans="3:9" ht="18" customHeight="1">
      <c r="C1036" s="300"/>
      <c r="D1036" s="300"/>
      <c r="E1036" s="300"/>
      <c r="F1036" s="300"/>
      <c r="G1036" s="300"/>
      <c r="H1036" s="300"/>
      <c r="I1036" s="539"/>
    </row>
    <row r="1037" spans="3:9" ht="18" customHeight="1">
      <c r="C1037" s="300"/>
      <c r="D1037" s="300"/>
      <c r="E1037" s="300"/>
      <c r="F1037" s="300"/>
      <c r="G1037" s="300"/>
      <c r="H1037" s="300"/>
      <c r="I1037" s="539"/>
    </row>
    <row r="1038" spans="3:9" ht="18" customHeight="1">
      <c r="C1038" s="300"/>
      <c r="D1038" s="300"/>
      <c r="E1038" s="300"/>
      <c r="F1038" s="300"/>
      <c r="G1038" s="300"/>
      <c r="H1038" s="300"/>
      <c r="I1038" s="539"/>
    </row>
    <row r="1039" spans="3:9" ht="18" customHeight="1">
      <c r="C1039" s="300"/>
      <c r="D1039" s="300"/>
      <c r="E1039" s="300"/>
      <c r="F1039" s="300"/>
      <c r="G1039" s="300"/>
      <c r="H1039" s="300"/>
      <c r="I1039" s="539"/>
    </row>
    <row r="1040" spans="3:9" ht="18" customHeight="1">
      <c r="C1040" s="300"/>
      <c r="D1040" s="300"/>
      <c r="E1040" s="300"/>
      <c r="F1040" s="300"/>
      <c r="G1040" s="300"/>
      <c r="H1040" s="300"/>
      <c r="I1040" s="539"/>
    </row>
    <row r="1041" spans="3:9" ht="18" customHeight="1">
      <c r="C1041" s="300"/>
      <c r="D1041" s="300"/>
      <c r="E1041" s="300"/>
      <c r="F1041" s="300"/>
      <c r="G1041" s="300"/>
      <c r="H1041" s="300"/>
      <c r="I1041" s="539"/>
    </row>
    <row r="1042" spans="3:9" ht="18" customHeight="1">
      <c r="C1042" s="300"/>
      <c r="D1042" s="300"/>
      <c r="E1042" s="300"/>
      <c r="F1042" s="300"/>
      <c r="G1042" s="300"/>
      <c r="H1042" s="300"/>
      <c r="I1042" s="539"/>
    </row>
    <row r="1043" spans="3:9" ht="18" customHeight="1">
      <c r="C1043" s="300"/>
      <c r="D1043" s="300"/>
      <c r="E1043" s="300"/>
      <c r="F1043" s="300"/>
      <c r="G1043" s="300"/>
      <c r="H1043" s="300"/>
      <c r="I1043" s="539"/>
    </row>
    <row r="1044" spans="3:9" ht="18" customHeight="1">
      <c r="C1044" s="300"/>
      <c r="D1044" s="300"/>
      <c r="E1044" s="300"/>
      <c r="F1044" s="300"/>
      <c r="G1044" s="300"/>
      <c r="H1044" s="300"/>
      <c r="I1044" s="539"/>
    </row>
    <row r="1045" spans="3:9" ht="18" customHeight="1">
      <c r="C1045" s="300"/>
      <c r="D1045" s="300"/>
      <c r="E1045" s="300"/>
      <c r="F1045" s="300"/>
      <c r="G1045" s="300"/>
      <c r="H1045" s="300"/>
      <c r="I1045" s="539"/>
    </row>
    <row r="1046" spans="3:9" ht="18" customHeight="1">
      <c r="C1046" s="300"/>
      <c r="D1046" s="300"/>
      <c r="E1046" s="300"/>
      <c r="F1046" s="300"/>
      <c r="G1046" s="300"/>
      <c r="H1046" s="300"/>
      <c r="I1046" s="539"/>
    </row>
    <row r="1047" spans="3:9" ht="18" customHeight="1">
      <c r="C1047" s="300"/>
      <c r="D1047" s="300"/>
      <c r="E1047" s="300"/>
      <c r="F1047" s="300"/>
      <c r="G1047" s="300"/>
      <c r="H1047" s="300"/>
      <c r="I1047" s="539"/>
    </row>
    <row r="1048" spans="3:9" ht="18" customHeight="1">
      <c r="C1048" s="300"/>
      <c r="D1048" s="300"/>
      <c r="E1048" s="300"/>
      <c r="F1048" s="300"/>
      <c r="G1048" s="300"/>
      <c r="H1048" s="300"/>
      <c r="I1048" s="539"/>
    </row>
  </sheetData>
  <mergeCells count="9">
    <mergeCell ref="U278:Z278"/>
    <mergeCell ref="U279:Z279"/>
    <mergeCell ref="A2:T2"/>
    <mergeCell ref="A3:T3"/>
    <mergeCell ref="A4:A5"/>
    <mergeCell ref="B4:B5"/>
    <mergeCell ref="C4:C5"/>
    <mergeCell ref="D4:I4"/>
    <mergeCell ref="J4:T4"/>
  </mergeCells>
  <phoneticPr fontId="3" type="noConversion"/>
  <printOptions horizontalCentered="1"/>
  <pageMargins left="0.19" right="0.17" top="0.45" bottom="0.21" header="0.32" footer="0.16"/>
  <pageSetup paperSize="9" scale="9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4"/>
  <sheetViews>
    <sheetView topLeftCell="A7" zoomScale="55" workbookViewId="0">
      <selection activeCell="C4" sqref="C4:R34"/>
    </sheetView>
  </sheetViews>
  <sheetFormatPr defaultRowHeight="15"/>
  <cols>
    <col min="1" max="1" width="2.75" customWidth="1"/>
    <col min="2" max="2" width="30.625" customWidth="1"/>
    <col min="3" max="3" width="6.875" customWidth="1"/>
    <col min="4" max="4" width="5.375" customWidth="1"/>
    <col min="5" max="5" width="7.375" customWidth="1"/>
    <col min="6" max="6" width="5.375" customWidth="1"/>
    <col min="7" max="7" width="7.375" customWidth="1"/>
    <col min="8" max="8" width="5.375" customWidth="1"/>
    <col min="9" max="9" width="7.25" customWidth="1"/>
    <col min="10" max="10" width="5.375" customWidth="1"/>
    <col min="11" max="11" width="7.375" customWidth="1"/>
    <col min="12" max="12" width="5.375" customWidth="1"/>
    <col min="13" max="13" width="6.25" customWidth="1"/>
    <col min="14" max="14" width="6.375" customWidth="1"/>
    <col min="15" max="15" width="7" customWidth="1"/>
    <col min="16" max="16" width="5.375" customWidth="1"/>
    <col min="17" max="17" width="7" customWidth="1"/>
    <col min="18" max="18" width="5.375" customWidth="1"/>
  </cols>
  <sheetData>
    <row r="1" spans="1:18" ht="20.25">
      <c r="C1" s="1" t="s">
        <v>0</v>
      </c>
      <c r="D1" s="1"/>
      <c r="E1" s="1"/>
      <c r="F1" s="1"/>
      <c r="G1" s="1"/>
      <c r="H1" s="1"/>
    </row>
    <row r="2" spans="1:18" ht="15.75">
      <c r="A2" s="722" t="s">
        <v>1</v>
      </c>
      <c r="B2" s="724" t="s">
        <v>2</v>
      </c>
      <c r="C2" s="720" t="s">
        <v>5</v>
      </c>
      <c r="D2" s="721"/>
      <c r="E2" s="720" t="s">
        <v>6</v>
      </c>
      <c r="F2" s="721"/>
      <c r="G2" s="720" t="s">
        <v>7</v>
      </c>
      <c r="H2" s="721"/>
      <c r="I2" s="720" t="s">
        <v>8</v>
      </c>
      <c r="J2" s="721"/>
      <c r="K2" s="720" t="s">
        <v>9</v>
      </c>
      <c r="L2" s="721"/>
      <c r="M2" s="720" t="s">
        <v>10</v>
      </c>
      <c r="N2" s="721"/>
      <c r="O2" s="720" t="s">
        <v>11</v>
      </c>
      <c r="P2" s="721"/>
      <c r="Q2" s="720" t="s">
        <v>12</v>
      </c>
      <c r="R2" s="721"/>
    </row>
    <row r="3" spans="1:18" ht="15.75">
      <c r="A3" s="723"/>
      <c r="B3" s="725"/>
      <c r="C3" s="2" t="s">
        <v>3</v>
      </c>
      <c r="D3" s="2" t="s">
        <v>4</v>
      </c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</row>
    <row r="4" spans="1:18" ht="15.75">
      <c r="A4" s="3">
        <v>1</v>
      </c>
      <c r="B4" s="6" t="s">
        <v>40</v>
      </c>
      <c r="C4" s="7">
        <v>10</v>
      </c>
      <c r="D4" s="7">
        <v>0</v>
      </c>
      <c r="E4" s="7">
        <v>10</v>
      </c>
      <c r="F4" s="7">
        <v>0</v>
      </c>
      <c r="G4" s="7">
        <v>10</v>
      </c>
      <c r="H4" s="7">
        <v>0</v>
      </c>
      <c r="I4" s="7">
        <v>14</v>
      </c>
      <c r="J4" s="7">
        <v>1</v>
      </c>
      <c r="K4" s="7">
        <v>18</v>
      </c>
      <c r="L4" s="7">
        <v>0</v>
      </c>
      <c r="M4" s="7">
        <v>18</v>
      </c>
      <c r="N4" s="7">
        <v>0</v>
      </c>
      <c r="O4" s="7">
        <v>19</v>
      </c>
      <c r="P4" s="7">
        <v>0</v>
      </c>
      <c r="Q4" s="7">
        <v>21</v>
      </c>
      <c r="R4" s="7">
        <v>0</v>
      </c>
    </row>
    <row r="5" spans="1:18" ht="15.75">
      <c r="A5" s="4"/>
      <c r="B5" s="8" t="s">
        <v>43</v>
      </c>
      <c r="C5" s="9">
        <v>10</v>
      </c>
      <c r="D5" s="9">
        <v>0</v>
      </c>
      <c r="E5" s="9">
        <v>10</v>
      </c>
      <c r="F5" s="9">
        <v>0</v>
      </c>
      <c r="G5" s="9">
        <v>10</v>
      </c>
      <c r="H5" s="9">
        <v>0</v>
      </c>
      <c r="I5" s="9">
        <v>14</v>
      </c>
      <c r="J5" s="9">
        <v>1</v>
      </c>
      <c r="K5" s="9">
        <v>18</v>
      </c>
      <c r="L5" s="9">
        <v>0</v>
      </c>
      <c r="M5" s="9">
        <v>18</v>
      </c>
      <c r="N5" s="9">
        <v>0</v>
      </c>
      <c r="O5" s="9">
        <v>19</v>
      </c>
      <c r="P5" s="9">
        <v>0</v>
      </c>
      <c r="Q5" s="9">
        <v>21</v>
      </c>
      <c r="R5" s="9">
        <v>0</v>
      </c>
    </row>
    <row r="6" spans="1:18" ht="15.75">
      <c r="A6" s="4"/>
      <c r="B6" s="10" t="s">
        <v>16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15.75">
      <c r="A7" s="19"/>
      <c r="B7" s="10" t="s">
        <v>18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1</v>
      </c>
      <c r="J7" s="9">
        <v>0</v>
      </c>
      <c r="K7" s="9">
        <v>3</v>
      </c>
      <c r="L7" s="9">
        <v>0</v>
      </c>
      <c r="M7" s="9">
        <v>4</v>
      </c>
      <c r="N7" s="9">
        <v>0</v>
      </c>
      <c r="O7" s="9">
        <v>4</v>
      </c>
      <c r="P7" s="9">
        <v>0</v>
      </c>
      <c r="Q7" s="9">
        <v>6</v>
      </c>
      <c r="R7" s="9">
        <v>0</v>
      </c>
    </row>
    <row r="8" spans="1:18" ht="15.75">
      <c r="A8" s="4">
        <v>2</v>
      </c>
      <c r="B8" s="11" t="s">
        <v>13</v>
      </c>
      <c r="C8" s="9">
        <v>57</v>
      </c>
      <c r="D8" s="9">
        <v>46</v>
      </c>
      <c r="E8" s="9">
        <v>62</v>
      </c>
      <c r="F8" s="9">
        <v>51</v>
      </c>
      <c r="G8" s="9">
        <v>66</v>
      </c>
      <c r="H8" s="9">
        <v>52</v>
      </c>
      <c r="I8" s="9">
        <v>83</v>
      </c>
      <c r="J8" s="9">
        <v>77</v>
      </c>
      <c r="K8" s="9">
        <v>92</v>
      </c>
      <c r="L8" s="9">
        <v>108</v>
      </c>
      <c r="M8" s="9">
        <v>96</v>
      </c>
      <c r="N8" s="9">
        <v>130</v>
      </c>
      <c r="O8" s="9">
        <v>100</v>
      </c>
      <c r="P8" s="9">
        <v>148</v>
      </c>
      <c r="Q8" s="9">
        <v>118</v>
      </c>
      <c r="R8" s="9">
        <v>143</v>
      </c>
    </row>
    <row r="9" spans="1:18" ht="15.75">
      <c r="A9" s="4"/>
      <c r="B9" s="8" t="s">
        <v>17</v>
      </c>
      <c r="C9" s="9">
        <v>18</v>
      </c>
      <c r="D9" s="9">
        <v>9</v>
      </c>
      <c r="E9" s="9">
        <v>19</v>
      </c>
      <c r="F9" s="9">
        <v>11</v>
      </c>
      <c r="G9" s="9">
        <v>20</v>
      </c>
      <c r="H9" s="9">
        <v>12</v>
      </c>
      <c r="I9" s="9">
        <v>25</v>
      </c>
      <c r="J9" s="9">
        <v>11</v>
      </c>
      <c r="K9" s="9">
        <v>24</v>
      </c>
      <c r="L9" s="9">
        <v>6</v>
      </c>
      <c r="M9" s="9">
        <v>25</v>
      </c>
      <c r="N9" s="9">
        <v>6</v>
      </c>
      <c r="O9" s="9">
        <v>25</v>
      </c>
      <c r="P9" s="9">
        <v>5</v>
      </c>
      <c r="Q9" s="9">
        <v>30</v>
      </c>
      <c r="R9" s="9">
        <v>7</v>
      </c>
    </row>
    <row r="10" spans="1:18" ht="15.75">
      <c r="A10" s="4"/>
      <c r="B10" s="10" t="s">
        <v>19</v>
      </c>
      <c r="C10" s="9">
        <v>39</v>
      </c>
      <c r="D10" s="9">
        <v>37</v>
      </c>
      <c r="E10" s="9">
        <v>43</v>
      </c>
      <c r="F10" s="9">
        <v>40</v>
      </c>
      <c r="G10" s="9">
        <v>46</v>
      </c>
      <c r="H10" s="9">
        <v>40</v>
      </c>
      <c r="I10" s="9">
        <v>58</v>
      </c>
      <c r="J10" s="9">
        <v>66</v>
      </c>
      <c r="K10" s="9">
        <v>68</v>
      </c>
      <c r="L10" s="9">
        <v>102</v>
      </c>
      <c r="M10" s="9">
        <v>71</v>
      </c>
      <c r="N10" s="9">
        <v>124</v>
      </c>
      <c r="O10" s="9">
        <v>75</v>
      </c>
      <c r="P10" s="9">
        <v>143</v>
      </c>
      <c r="Q10" s="9">
        <v>88</v>
      </c>
      <c r="R10" s="9">
        <v>136</v>
      </c>
    </row>
    <row r="11" spans="1:18" ht="15.75">
      <c r="A11" s="19"/>
      <c r="B11" s="10" t="s">
        <v>20</v>
      </c>
      <c r="C11" s="9">
        <v>14</v>
      </c>
      <c r="D11" s="9">
        <v>7</v>
      </c>
      <c r="E11" s="9">
        <v>16</v>
      </c>
      <c r="F11" s="9">
        <v>7</v>
      </c>
      <c r="G11" s="9">
        <v>18</v>
      </c>
      <c r="H11" s="9">
        <v>9</v>
      </c>
      <c r="I11" s="9">
        <v>25</v>
      </c>
      <c r="J11" s="9">
        <v>36</v>
      </c>
      <c r="K11" s="9">
        <v>28</v>
      </c>
      <c r="L11" s="9">
        <v>54</v>
      </c>
      <c r="M11" s="9">
        <v>29</v>
      </c>
      <c r="N11" s="9">
        <v>71</v>
      </c>
      <c r="O11" s="9">
        <v>30</v>
      </c>
      <c r="P11" s="9">
        <v>94</v>
      </c>
      <c r="Q11" s="9">
        <v>34</v>
      </c>
      <c r="R11" s="9">
        <v>92</v>
      </c>
    </row>
    <row r="12" spans="1:18" ht="15.75">
      <c r="A12" s="4">
        <v>3</v>
      </c>
      <c r="B12" s="11" t="s">
        <v>14</v>
      </c>
      <c r="C12" s="9">
        <v>1250</v>
      </c>
      <c r="D12" s="9">
        <v>885</v>
      </c>
      <c r="E12" s="9">
        <v>1288</v>
      </c>
      <c r="F12" s="9">
        <v>972</v>
      </c>
      <c r="G12" s="9">
        <v>1408</v>
      </c>
      <c r="H12" s="9">
        <v>1018</v>
      </c>
      <c r="I12" s="9">
        <v>1904</v>
      </c>
      <c r="J12" s="9">
        <v>1533</v>
      </c>
      <c r="K12" s="9">
        <v>2295</v>
      </c>
      <c r="L12" s="9">
        <v>2090</v>
      </c>
      <c r="M12" s="9">
        <v>2516</v>
      </c>
      <c r="N12" s="9">
        <v>2452</v>
      </c>
      <c r="O12" s="9">
        <v>2534</v>
      </c>
      <c r="P12" s="9">
        <v>2710</v>
      </c>
      <c r="Q12" s="9">
        <v>3071</v>
      </c>
      <c r="R12" s="9">
        <v>2607</v>
      </c>
    </row>
    <row r="13" spans="1:18" ht="15.75">
      <c r="A13" s="4"/>
      <c r="B13" s="8" t="s">
        <v>39</v>
      </c>
      <c r="C13" s="9">
        <v>229</v>
      </c>
      <c r="D13" s="9">
        <v>83</v>
      </c>
      <c r="E13" s="9">
        <v>265</v>
      </c>
      <c r="F13" s="9">
        <v>99</v>
      </c>
      <c r="G13" s="9">
        <v>291</v>
      </c>
      <c r="H13" s="9">
        <v>103</v>
      </c>
      <c r="I13" s="9">
        <v>324</v>
      </c>
      <c r="J13" s="9">
        <v>103</v>
      </c>
      <c r="K13" s="9">
        <v>350</v>
      </c>
      <c r="L13" s="9">
        <v>71</v>
      </c>
      <c r="M13" s="9">
        <v>394</v>
      </c>
      <c r="N13" s="9">
        <v>84</v>
      </c>
      <c r="O13" s="9">
        <v>403</v>
      </c>
      <c r="P13" s="9">
        <v>77</v>
      </c>
      <c r="Q13" s="9">
        <v>578</v>
      </c>
      <c r="R13" s="9">
        <v>83</v>
      </c>
    </row>
    <row r="14" spans="1:18" ht="15.75">
      <c r="A14" s="4"/>
      <c r="B14" s="10" t="s">
        <v>21</v>
      </c>
      <c r="C14" s="9">
        <v>1021</v>
      </c>
      <c r="D14" s="9">
        <v>802</v>
      </c>
      <c r="E14" s="9">
        <v>1023</v>
      </c>
      <c r="F14" s="9">
        <v>873</v>
      </c>
      <c r="G14" s="9">
        <v>1117</v>
      </c>
      <c r="H14" s="9">
        <v>915</v>
      </c>
      <c r="I14" s="9">
        <v>1580</v>
      </c>
      <c r="J14" s="9">
        <v>1430</v>
      </c>
      <c r="K14" s="9">
        <v>1945</v>
      </c>
      <c r="L14" s="9">
        <v>2019</v>
      </c>
      <c r="M14" s="9">
        <v>2122</v>
      </c>
      <c r="N14" s="9">
        <v>2368</v>
      </c>
      <c r="O14" s="9">
        <v>2131</v>
      </c>
      <c r="P14" s="9">
        <v>2633</v>
      </c>
      <c r="Q14" s="9">
        <v>2493</v>
      </c>
      <c r="R14" s="9">
        <v>2524</v>
      </c>
    </row>
    <row r="15" spans="1:18" ht="15.75">
      <c r="A15" s="19"/>
      <c r="B15" s="10" t="s">
        <v>22</v>
      </c>
      <c r="C15" s="9">
        <v>423</v>
      </c>
      <c r="D15" s="9">
        <v>250</v>
      </c>
      <c r="E15" s="9">
        <v>458</v>
      </c>
      <c r="F15" s="9">
        <v>238</v>
      </c>
      <c r="G15" s="9">
        <v>461</v>
      </c>
      <c r="H15" s="9">
        <v>344</v>
      </c>
      <c r="I15" s="9">
        <v>662</v>
      </c>
      <c r="J15" s="9">
        <v>686</v>
      </c>
      <c r="K15" s="9">
        <v>758</v>
      </c>
      <c r="L15" s="9">
        <v>817</v>
      </c>
      <c r="M15" s="9">
        <v>866</v>
      </c>
      <c r="N15" s="9">
        <v>968</v>
      </c>
      <c r="O15" s="9">
        <v>901</v>
      </c>
      <c r="P15" s="9">
        <v>962</v>
      </c>
      <c r="Q15" s="9">
        <v>936</v>
      </c>
      <c r="R15" s="9">
        <v>894</v>
      </c>
    </row>
    <row r="16" spans="1:18">
      <c r="A16" s="4">
        <v>4</v>
      </c>
      <c r="B16" s="11" t="s">
        <v>15</v>
      </c>
      <c r="C16" s="12">
        <v>220</v>
      </c>
      <c r="D16" s="12">
        <v>85</v>
      </c>
      <c r="E16" s="12">
        <v>235</v>
      </c>
      <c r="F16" s="12">
        <v>102</v>
      </c>
      <c r="G16" s="12">
        <v>250</v>
      </c>
      <c r="H16" s="12">
        <v>132</v>
      </c>
      <c r="I16" s="12">
        <v>319</v>
      </c>
      <c r="J16" s="12">
        <v>75</v>
      </c>
      <c r="K16" s="12">
        <v>349</v>
      </c>
      <c r="L16" s="12">
        <v>100</v>
      </c>
      <c r="M16" s="12">
        <v>420</v>
      </c>
      <c r="N16" s="12">
        <v>72</v>
      </c>
      <c r="O16" s="12">
        <v>430</v>
      </c>
      <c r="P16" s="12">
        <v>137</v>
      </c>
      <c r="Q16" s="12">
        <v>435</v>
      </c>
      <c r="R16" s="12">
        <v>153</v>
      </c>
    </row>
    <row r="17" spans="1:18" ht="15.75">
      <c r="A17" s="4"/>
      <c r="B17" s="8" t="s">
        <v>38</v>
      </c>
      <c r="C17" s="9">
        <v>22</v>
      </c>
      <c r="D17" s="9"/>
      <c r="E17" s="9">
        <v>25</v>
      </c>
      <c r="F17" s="9"/>
      <c r="G17" s="9">
        <v>25</v>
      </c>
      <c r="H17" s="9"/>
      <c r="I17" s="9">
        <v>32</v>
      </c>
      <c r="J17" s="9"/>
      <c r="K17" s="9">
        <v>43</v>
      </c>
      <c r="L17" s="9"/>
      <c r="M17" s="9">
        <v>46</v>
      </c>
      <c r="N17" s="9"/>
      <c r="O17" s="9">
        <v>52</v>
      </c>
      <c r="P17" s="9"/>
      <c r="Q17" s="9">
        <v>59</v>
      </c>
      <c r="R17" s="9"/>
    </row>
    <row r="18" spans="1:18" ht="15.75">
      <c r="A18" s="4"/>
      <c r="B18" s="10" t="s">
        <v>23</v>
      </c>
      <c r="C18" s="14">
        <v>165</v>
      </c>
      <c r="D18" s="14">
        <v>85</v>
      </c>
      <c r="E18" s="14">
        <v>180</v>
      </c>
      <c r="F18" s="14">
        <v>102</v>
      </c>
      <c r="G18" s="14">
        <v>195</v>
      </c>
      <c r="H18" s="14">
        <v>132</v>
      </c>
      <c r="I18" s="14">
        <v>255</v>
      </c>
      <c r="J18" s="14">
        <v>75</v>
      </c>
      <c r="K18" s="14">
        <v>250</v>
      </c>
      <c r="L18" s="14">
        <v>100</v>
      </c>
      <c r="M18" s="14">
        <v>315</v>
      </c>
      <c r="N18" s="14">
        <v>72</v>
      </c>
      <c r="O18" s="14">
        <v>319</v>
      </c>
      <c r="P18" s="14">
        <v>137</v>
      </c>
      <c r="Q18" s="9">
        <v>299</v>
      </c>
      <c r="R18" s="9">
        <v>153</v>
      </c>
    </row>
    <row r="19" spans="1:18" ht="15.75">
      <c r="A19" s="4"/>
      <c r="B19" s="10" t="s">
        <v>24</v>
      </c>
      <c r="C19" s="14">
        <v>70</v>
      </c>
      <c r="D19" s="9">
        <v>39</v>
      </c>
      <c r="E19" s="9">
        <v>80</v>
      </c>
      <c r="F19" s="9">
        <v>40</v>
      </c>
      <c r="G19" s="9">
        <v>75</v>
      </c>
      <c r="H19" s="9">
        <v>42</v>
      </c>
      <c r="I19" s="9">
        <v>60</v>
      </c>
      <c r="J19" s="9">
        <v>14</v>
      </c>
      <c r="K19" s="9">
        <v>50</v>
      </c>
      <c r="L19" s="9">
        <v>24</v>
      </c>
      <c r="M19" s="9">
        <v>65</v>
      </c>
      <c r="N19" s="9">
        <v>9</v>
      </c>
      <c r="O19" s="9">
        <v>65</v>
      </c>
      <c r="P19" s="9">
        <v>9</v>
      </c>
      <c r="Q19" s="9">
        <v>49</v>
      </c>
      <c r="R19" s="9">
        <v>25</v>
      </c>
    </row>
    <row r="20" spans="1:18" ht="15.75">
      <c r="A20" s="4"/>
      <c r="B20" s="10" t="s">
        <v>25</v>
      </c>
      <c r="C20" s="14">
        <v>95</v>
      </c>
      <c r="D20" s="9">
        <v>46</v>
      </c>
      <c r="E20" s="9">
        <v>100</v>
      </c>
      <c r="F20" s="9">
        <v>62</v>
      </c>
      <c r="G20" s="9">
        <v>120</v>
      </c>
      <c r="H20" s="9">
        <v>90</v>
      </c>
      <c r="I20" s="9">
        <v>195</v>
      </c>
      <c r="J20" s="9">
        <v>61</v>
      </c>
      <c r="K20" s="9">
        <v>200</v>
      </c>
      <c r="L20" s="9">
        <v>76</v>
      </c>
      <c r="M20" s="9">
        <v>250</v>
      </c>
      <c r="N20" s="9">
        <v>63</v>
      </c>
      <c r="O20" s="9">
        <v>254</v>
      </c>
      <c r="P20" s="9">
        <v>128</v>
      </c>
      <c r="Q20" s="9">
        <v>250</v>
      </c>
      <c r="R20" s="9">
        <v>128</v>
      </c>
    </row>
    <row r="21" spans="1:18" ht="15.75">
      <c r="A21" s="4"/>
      <c r="B21" s="10" t="s">
        <v>26</v>
      </c>
      <c r="C21" s="14">
        <v>170</v>
      </c>
      <c r="D21" s="14">
        <v>67</v>
      </c>
      <c r="E21" s="14">
        <v>170</v>
      </c>
      <c r="F21" s="14">
        <v>99</v>
      </c>
      <c r="G21" s="14">
        <v>220</v>
      </c>
      <c r="H21" s="14">
        <v>87</v>
      </c>
      <c r="I21" s="14">
        <v>230</v>
      </c>
      <c r="J21" s="14">
        <v>77</v>
      </c>
      <c r="K21" s="14">
        <v>250</v>
      </c>
      <c r="L21" s="14">
        <v>88</v>
      </c>
      <c r="M21" s="14">
        <v>315</v>
      </c>
      <c r="N21" s="14">
        <v>72</v>
      </c>
      <c r="O21" s="14">
        <v>319</v>
      </c>
      <c r="P21" s="14">
        <v>137</v>
      </c>
      <c r="Q21" s="9">
        <v>299</v>
      </c>
      <c r="R21" s="9">
        <v>153</v>
      </c>
    </row>
    <row r="22" spans="1:18" ht="15.75">
      <c r="A22" s="19"/>
      <c r="B22" s="10" t="s">
        <v>27</v>
      </c>
      <c r="C22" s="9">
        <v>33</v>
      </c>
      <c r="D22" s="9"/>
      <c r="E22" s="9">
        <v>30</v>
      </c>
      <c r="F22" s="9"/>
      <c r="G22" s="9">
        <v>30</v>
      </c>
      <c r="H22" s="9"/>
      <c r="I22" s="9">
        <v>32</v>
      </c>
      <c r="J22" s="9"/>
      <c r="K22" s="9">
        <v>56</v>
      </c>
      <c r="L22" s="9"/>
      <c r="M22" s="9">
        <v>59</v>
      </c>
      <c r="N22" s="9"/>
      <c r="O22" s="9">
        <v>59</v>
      </c>
      <c r="P22" s="9"/>
      <c r="Q22" s="9">
        <v>77</v>
      </c>
      <c r="R22" s="9"/>
    </row>
    <row r="23" spans="1:18" ht="15.75">
      <c r="A23" s="4">
        <v>5</v>
      </c>
      <c r="B23" s="11" t="s">
        <v>41</v>
      </c>
      <c r="C23" s="9">
        <v>54</v>
      </c>
      <c r="D23" s="9">
        <v>43</v>
      </c>
      <c r="E23" s="9">
        <v>63</v>
      </c>
      <c r="F23" s="9">
        <v>43</v>
      </c>
      <c r="G23" s="9">
        <v>64</v>
      </c>
      <c r="H23" s="9">
        <v>49</v>
      </c>
      <c r="I23" s="9">
        <v>80</v>
      </c>
      <c r="J23" s="9">
        <v>65</v>
      </c>
      <c r="K23" s="9">
        <v>84</v>
      </c>
      <c r="L23" s="9">
        <v>104</v>
      </c>
      <c r="M23" s="9">
        <v>93</v>
      </c>
      <c r="N23" s="9">
        <v>127</v>
      </c>
      <c r="O23" s="9">
        <v>98</v>
      </c>
      <c r="P23" s="9">
        <v>145</v>
      </c>
      <c r="Q23" s="9">
        <v>116</v>
      </c>
      <c r="R23" s="9">
        <v>149</v>
      </c>
    </row>
    <row r="24" spans="1:18" ht="15.75">
      <c r="A24" s="4"/>
      <c r="B24" s="8" t="s">
        <v>37</v>
      </c>
      <c r="C24" s="9">
        <v>10</v>
      </c>
      <c r="D24" s="9">
        <v>4</v>
      </c>
      <c r="E24" s="9">
        <v>24</v>
      </c>
      <c r="F24" s="9">
        <v>2</v>
      </c>
      <c r="G24" s="9">
        <v>22</v>
      </c>
      <c r="H24" s="9">
        <v>2</v>
      </c>
      <c r="I24" s="9">
        <v>25</v>
      </c>
      <c r="J24" s="9">
        <v>9</v>
      </c>
      <c r="K24" s="9">
        <v>38</v>
      </c>
      <c r="L24" s="9">
        <v>26</v>
      </c>
      <c r="M24" s="9">
        <v>48</v>
      </c>
      <c r="N24" s="9">
        <v>30</v>
      </c>
      <c r="O24" s="9">
        <v>48</v>
      </c>
      <c r="P24" s="9">
        <v>28</v>
      </c>
      <c r="Q24" s="9">
        <v>52</v>
      </c>
      <c r="R24" s="9">
        <v>26</v>
      </c>
    </row>
    <row r="25" spans="1:18" ht="15.75">
      <c r="A25" s="4"/>
      <c r="B25" s="10" t="s">
        <v>35</v>
      </c>
      <c r="C25" s="9">
        <v>17</v>
      </c>
      <c r="D25" s="9">
        <v>6</v>
      </c>
      <c r="E25" s="9">
        <v>17</v>
      </c>
      <c r="F25" s="9">
        <v>10</v>
      </c>
      <c r="G25" s="9">
        <v>17</v>
      </c>
      <c r="H25" s="9">
        <v>15</v>
      </c>
      <c r="I25" s="9">
        <v>20</v>
      </c>
      <c r="J25" s="9">
        <v>10</v>
      </c>
      <c r="K25" s="9">
        <v>30</v>
      </c>
      <c r="L25" s="9">
        <v>13</v>
      </c>
      <c r="M25" s="9">
        <v>31</v>
      </c>
      <c r="N25" s="9">
        <v>15</v>
      </c>
      <c r="O25" s="9">
        <v>34</v>
      </c>
      <c r="P25" s="9">
        <v>15</v>
      </c>
      <c r="Q25" s="9">
        <v>36</v>
      </c>
      <c r="R25" s="9">
        <v>14</v>
      </c>
    </row>
    <row r="26" spans="1:18" ht="15.75">
      <c r="A26" s="4"/>
      <c r="B26" s="10" t="s">
        <v>36</v>
      </c>
      <c r="C26" s="9">
        <v>27</v>
      </c>
      <c r="D26" s="9">
        <v>33</v>
      </c>
      <c r="E26" s="9">
        <v>22</v>
      </c>
      <c r="F26" s="9">
        <v>31</v>
      </c>
      <c r="G26" s="9">
        <v>25</v>
      </c>
      <c r="H26" s="9">
        <v>32</v>
      </c>
      <c r="I26" s="9">
        <v>35</v>
      </c>
      <c r="J26" s="9">
        <v>46</v>
      </c>
      <c r="K26" s="9">
        <v>16</v>
      </c>
      <c r="L26" s="9">
        <v>65</v>
      </c>
      <c r="M26" s="9">
        <v>14</v>
      </c>
      <c r="N26" s="9">
        <v>82</v>
      </c>
      <c r="O26" s="9">
        <v>16</v>
      </c>
      <c r="P26" s="9">
        <v>102</v>
      </c>
      <c r="Q26" s="9">
        <v>28</v>
      </c>
      <c r="R26" s="9">
        <v>109</v>
      </c>
    </row>
    <row r="27" spans="1:18" ht="15.75">
      <c r="A27" s="19"/>
      <c r="B27" s="8" t="s">
        <v>28</v>
      </c>
      <c r="C27" s="9">
        <v>10</v>
      </c>
      <c r="D27" s="9">
        <v>19</v>
      </c>
      <c r="E27" s="9">
        <v>10</v>
      </c>
      <c r="F27" s="9">
        <v>22</v>
      </c>
      <c r="G27" s="9">
        <v>10</v>
      </c>
      <c r="H27" s="9">
        <v>23</v>
      </c>
      <c r="I27" s="9">
        <v>17</v>
      </c>
      <c r="J27" s="9">
        <v>36</v>
      </c>
      <c r="K27" s="9">
        <v>21</v>
      </c>
      <c r="L27" s="9">
        <v>58</v>
      </c>
      <c r="M27" s="9">
        <v>19</v>
      </c>
      <c r="N27" s="9">
        <v>59</v>
      </c>
      <c r="O27" s="9">
        <v>19</v>
      </c>
      <c r="P27" s="9">
        <v>91</v>
      </c>
      <c r="Q27" s="9">
        <v>22</v>
      </c>
      <c r="R27" s="9">
        <v>89</v>
      </c>
    </row>
    <row r="28" spans="1:18" ht="15.75">
      <c r="A28" s="4">
        <v>6</v>
      </c>
      <c r="B28" s="11" t="s">
        <v>42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ht="15.75">
      <c r="A29" s="4"/>
      <c r="B29" s="15" t="s">
        <v>29</v>
      </c>
      <c r="C29" s="16">
        <v>21.92982456140351</v>
      </c>
      <c r="D29" s="16">
        <v>19.239130434782609</v>
      </c>
      <c r="E29" s="16">
        <v>20.774193548387096</v>
      </c>
      <c r="F29" s="16">
        <v>19.058823529411764</v>
      </c>
      <c r="G29" s="16">
        <v>21.333333333333332</v>
      </c>
      <c r="H29" s="16">
        <v>19.576923076923077</v>
      </c>
      <c r="I29" s="16">
        <v>22.939759036144579</v>
      </c>
      <c r="J29" s="16">
        <v>19.90909090909091</v>
      </c>
      <c r="K29" s="16">
        <v>24.945652173913043</v>
      </c>
      <c r="L29" s="16">
        <v>19.351851851851851</v>
      </c>
      <c r="M29" s="16">
        <v>26.208333333333332</v>
      </c>
      <c r="N29" s="16">
        <v>18.861538461538462</v>
      </c>
      <c r="O29" s="16">
        <v>25.34</v>
      </c>
      <c r="P29" s="16">
        <v>18.310810810810811</v>
      </c>
      <c r="Q29" s="16">
        <v>26.025423728813561</v>
      </c>
      <c r="R29" s="16">
        <v>18.23076923076923</v>
      </c>
    </row>
    <row r="30" spans="1:18" ht="15.75">
      <c r="A30" s="4"/>
      <c r="B30" s="15" t="s">
        <v>30</v>
      </c>
      <c r="C30" s="16">
        <v>2.8947368421052633</v>
      </c>
      <c r="D30" s="16">
        <v>1.8478260869565217</v>
      </c>
      <c r="E30" s="16">
        <v>2.903225806451613</v>
      </c>
      <c r="F30" s="16">
        <v>2</v>
      </c>
      <c r="G30" s="16">
        <v>2.9545454545454546</v>
      </c>
      <c r="H30" s="16">
        <v>2.5384615384615383</v>
      </c>
      <c r="I30" s="16">
        <v>3.072289156626506</v>
      </c>
      <c r="J30" s="16">
        <v>0.97402597402597402</v>
      </c>
      <c r="K30" s="16">
        <v>2.7173913043478262</v>
      </c>
      <c r="L30" s="16">
        <v>0.92592592592592593</v>
      </c>
      <c r="M30" s="16">
        <v>3.28125</v>
      </c>
      <c r="N30" s="16">
        <v>0.55384615384615388</v>
      </c>
      <c r="O30" s="16">
        <v>3.19</v>
      </c>
      <c r="P30" s="16">
        <v>0.92567567567567566</v>
      </c>
      <c r="Q30" s="16">
        <v>2.5338983050847457</v>
      </c>
      <c r="R30" s="16">
        <v>1.06993006993007</v>
      </c>
    </row>
    <row r="31" spans="1:18" ht="15.75">
      <c r="A31" s="4"/>
      <c r="B31" s="15" t="s">
        <v>31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ht="15.75">
      <c r="A32" s="4"/>
      <c r="B32" s="15" t="s">
        <v>32</v>
      </c>
      <c r="C32" s="9">
        <v>14.908854166666666</v>
      </c>
      <c r="D32" s="9">
        <v>7.1061643835616444</v>
      </c>
      <c r="E32" s="9">
        <v>20.68696330991413</v>
      </c>
      <c r="F32" s="9">
        <v>7.6566125290023201</v>
      </c>
      <c r="G32" s="9">
        <v>22.264728385615914</v>
      </c>
      <c r="H32" s="9">
        <v>8.2997582594681703</v>
      </c>
      <c r="I32" s="9">
        <v>19.047619047619047</v>
      </c>
      <c r="J32" s="9">
        <v>4.12</v>
      </c>
      <c r="K32" s="9">
        <v>15.695067264573993</v>
      </c>
      <c r="L32" s="9">
        <v>3.5288270377733597</v>
      </c>
      <c r="M32" s="9">
        <v>16.596461668070766</v>
      </c>
      <c r="N32" s="9">
        <v>3.9234002802428773</v>
      </c>
      <c r="O32" s="9">
        <v>18.520220588235293</v>
      </c>
      <c r="P32" s="9">
        <v>3.4529147982062782</v>
      </c>
      <c r="Q32" s="9">
        <v>22.551697229808816</v>
      </c>
      <c r="R32" s="9">
        <v>4.4864864864864868</v>
      </c>
    </row>
    <row r="33" spans="1:18" ht="15.75">
      <c r="A33" s="4"/>
      <c r="B33" s="15" t="s">
        <v>33</v>
      </c>
      <c r="C33" s="9">
        <v>61.69184290030212</v>
      </c>
      <c r="D33" s="9">
        <v>53.502334889926615</v>
      </c>
      <c r="E33" s="9">
        <v>64.258793969849251</v>
      </c>
      <c r="F33" s="9">
        <v>53.296703296703299</v>
      </c>
      <c r="G33" s="9">
        <v>70.830691185795814</v>
      </c>
      <c r="H33" s="9">
        <v>37.134740259740262</v>
      </c>
      <c r="I33" s="9">
        <v>79.11867801702553</v>
      </c>
      <c r="J33" s="9">
        <v>47.304002646377768</v>
      </c>
      <c r="K33" s="9">
        <v>86.830357142857139</v>
      </c>
      <c r="L33" s="9">
        <v>59.104215456674467</v>
      </c>
      <c r="M33" s="9">
        <v>89.877170690385427</v>
      </c>
      <c r="N33" s="9">
        <v>76.436410587475791</v>
      </c>
      <c r="O33" s="9">
        <v>96.907685311505233</v>
      </c>
      <c r="P33" s="9">
        <v>76.230457440648522</v>
      </c>
      <c r="Q33" s="9">
        <v>98.188263095706972</v>
      </c>
      <c r="R33" s="9">
        <v>82.510624387054591</v>
      </c>
    </row>
    <row r="34" spans="1:18" ht="15.75">
      <c r="A34" s="5"/>
      <c r="B34" s="17" t="s">
        <v>34</v>
      </c>
      <c r="C34" s="18">
        <v>74.603174603174608</v>
      </c>
      <c r="D34" s="18">
        <v>47.709923664122137</v>
      </c>
      <c r="E34" s="18">
        <v>72.012578616352201</v>
      </c>
      <c r="F34" s="18">
        <v>48.080808080808083</v>
      </c>
      <c r="G34" s="18">
        <v>81.161971830985919</v>
      </c>
      <c r="H34" s="18">
        <v>73.036093418259014</v>
      </c>
      <c r="I34" s="18">
        <v>96.220930232558146</v>
      </c>
      <c r="J34" s="18">
        <v>68.055555555555557</v>
      </c>
      <c r="K34" s="18">
        <v>100</v>
      </c>
      <c r="L34" s="18">
        <v>74.340309372156511</v>
      </c>
      <c r="M34" s="18">
        <v>100</v>
      </c>
      <c r="N34" s="18">
        <v>82.523444160272803</v>
      </c>
      <c r="O34" s="18">
        <v>100</v>
      </c>
      <c r="P34" s="18">
        <v>89.65517241379311</v>
      </c>
      <c r="Q34" s="18">
        <v>100</v>
      </c>
      <c r="R34" s="18">
        <v>97.279651795429814</v>
      </c>
    </row>
  </sheetData>
  <mergeCells count="10">
    <mergeCell ref="A2:A3"/>
    <mergeCell ref="B2:B3"/>
    <mergeCell ref="C2:D2"/>
    <mergeCell ref="E2:F2"/>
    <mergeCell ref="O2:P2"/>
    <mergeCell ref="Q2:R2"/>
    <mergeCell ref="G2:H2"/>
    <mergeCell ref="I2:J2"/>
    <mergeCell ref="K2:L2"/>
    <mergeCell ref="M2:N2"/>
  </mergeCells>
  <phoneticPr fontId="3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P162"/>
  <sheetViews>
    <sheetView workbookViewId="0">
      <pane ySplit="2430" topLeftCell="A147" activePane="bottomLeft"/>
      <selection activeCell="J81" sqref="J81"/>
      <selection pane="bottomLeft" activeCell="J81" sqref="J81"/>
    </sheetView>
  </sheetViews>
  <sheetFormatPr defaultRowHeight="18" customHeight="1"/>
  <cols>
    <col min="1" max="1" width="3.25" style="268" customWidth="1"/>
    <col min="2" max="2" width="30.5" style="242" customWidth="1"/>
    <col min="3" max="3" width="31.75" style="242" customWidth="1"/>
    <col min="4" max="4" width="5.625" style="268" customWidth="1"/>
    <col min="5" max="5" width="6.25" style="268" customWidth="1"/>
    <col min="6" max="6" width="7.875" style="268" customWidth="1"/>
    <col min="7" max="7" width="7.375" style="268" customWidth="1"/>
    <col min="8" max="8" width="0" style="242" hidden="1" customWidth="1"/>
    <col min="9" max="9" width="11.375" style="242" hidden="1" customWidth="1"/>
    <col min="10" max="14" width="0" style="242" hidden="1" customWidth="1"/>
    <col min="15" max="16384" width="9" style="242"/>
  </cols>
  <sheetData>
    <row r="1" spans="1:12" ht="30.75" customHeight="1">
      <c r="A1" s="812" t="s">
        <v>321</v>
      </c>
      <c r="B1" s="812"/>
      <c r="C1" s="812"/>
      <c r="D1" s="812"/>
      <c r="E1" s="812"/>
      <c r="F1" s="812"/>
      <c r="G1" s="812"/>
    </row>
    <row r="2" spans="1:12" ht="14.25" customHeight="1">
      <c r="A2" s="241"/>
      <c r="B2" s="241"/>
      <c r="C2" s="241"/>
      <c r="D2" s="241"/>
      <c r="E2" s="241"/>
      <c r="F2" s="243"/>
      <c r="G2" s="241"/>
    </row>
    <row r="3" spans="1:12" ht="29.25" customHeight="1">
      <c r="A3" s="813" t="s">
        <v>1</v>
      </c>
      <c r="B3" s="813" t="s">
        <v>322</v>
      </c>
      <c r="C3" s="813" t="s">
        <v>323</v>
      </c>
      <c r="D3" s="813" t="s">
        <v>575</v>
      </c>
      <c r="E3" s="813"/>
      <c r="F3" s="813" t="s">
        <v>324</v>
      </c>
      <c r="G3" s="814" t="s">
        <v>569</v>
      </c>
    </row>
    <row r="4" spans="1:12" ht="31.5" customHeight="1">
      <c r="A4" s="813"/>
      <c r="B4" s="813"/>
      <c r="C4" s="813"/>
      <c r="D4" s="244" t="s">
        <v>325</v>
      </c>
      <c r="E4" s="244" t="s">
        <v>326</v>
      </c>
      <c r="F4" s="813"/>
      <c r="G4" s="815"/>
    </row>
    <row r="5" spans="1:12" s="246" customFormat="1" ht="24.95" customHeight="1">
      <c r="A5" s="244" t="s">
        <v>327</v>
      </c>
      <c r="B5" s="245" t="s">
        <v>328</v>
      </c>
      <c r="C5" s="244"/>
      <c r="D5" s="244"/>
      <c r="E5" s="244"/>
      <c r="F5" s="244"/>
      <c r="G5" s="244"/>
    </row>
    <row r="6" spans="1:12" s="246" customFormat="1" ht="24.95" customHeight="1">
      <c r="A6" s="247">
        <v>1</v>
      </c>
      <c r="B6" s="248" t="s">
        <v>329</v>
      </c>
      <c r="C6" s="248" t="s">
        <v>330</v>
      </c>
      <c r="D6" s="247">
        <v>8</v>
      </c>
      <c r="E6" s="247">
        <v>129</v>
      </c>
      <c r="F6" s="247">
        <v>2016</v>
      </c>
      <c r="G6" s="249">
        <f t="shared" ref="G6:G37" si="0">E6*12</f>
        <v>1548</v>
      </c>
      <c r="I6" s="246" t="s">
        <v>331</v>
      </c>
      <c r="J6" s="246">
        <v>9</v>
      </c>
    </row>
    <row r="7" spans="1:12" s="246" customFormat="1" ht="24.95" customHeight="1">
      <c r="A7" s="247">
        <v>2</v>
      </c>
      <c r="B7" s="250" t="s">
        <v>332</v>
      </c>
      <c r="C7" s="250" t="s">
        <v>333</v>
      </c>
      <c r="D7" s="247">
        <v>9</v>
      </c>
      <c r="E7" s="247">
        <v>176</v>
      </c>
      <c r="F7" s="247">
        <v>2016</v>
      </c>
      <c r="G7" s="249">
        <f t="shared" si="0"/>
        <v>2112</v>
      </c>
    </row>
    <row r="8" spans="1:12" s="246" customFormat="1" ht="24.95" customHeight="1">
      <c r="A8" s="247">
        <v>3</v>
      </c>
      <c r="B8" s="250" t="s">
        <v>334</v>
      </c>
      <c r="C8" s="250" t="s">
        <v>335</v>
      </c>
      <c r="D8" s="247">
        <v>9</v>
      </c>
      <c r="E8" s="247">
        <v>125</v>
      </c>
      <c r="F8" s="247">
        <v>2016</v>
      </c>
      <c r="G8" s="249">
        <f t="shared" si="0"/>
        <v>1500</v>
      </c>
      <c r="I8" s="246">
        <v>2016</v>
      </c>
      <c r="J8" s="246" t="s">
        <v>336</v>
      </c>
    </row>
    <row r="9" spans="1:12" s="246" customFormat="1" ht="24.95" customHeight="1">
      <c r="A9" s="247">
        <v>4</v>
      </c>
      <c r="B9" s="250" t="s">
        <v>337</v>
      </c>
      <c r="C9" s="250" t="s">
        <v>338</v>
      </c>
      <c r="D9" s="247">
        <v>7</v>
      </c>
      <c r="E9" s="247">
        <v>157</v>
      </c>
      <c r="F9" s="247">
        <v>2016</v>
      </c>
      <c r="G9" s="249">
        <f t="shared" si="0"/>
        <v>1884</v>
      </c>
    </row>
    <row r="10" spans="1:12" s="246" customFormat="1" ht="24.95" customHeight="1">
      <c r="A10" s="247">
        <v>5</v>
      </c>
      <c r="B10" s="250" t="s">
        <v>339</v>
      </c>
      <c r="C10" s="250" t="s">
        <v>340</v>
      </c>
      <c r="D10" s="247">
        <v>21</v>
      </c>
      <c r="E10" s="247">
        <v>368</v>
      </c>
      <c r="F10" s="247">
        <v>2016</v>
      </c>
      <c r="G10" s="249">
        <f t="shared" si="0"/>
        <v>4416</v>
      </c>
    </row>
    <row r="11" spans="1:12" s="246" customFormat="1" ht="24.95" customHeight="1">
      <c r="A11" s="247">
        <v>6</v>
      </c>
      <c r="B11" s="250" t="s">
        <v>341</v>
      </c>
      <c r="C11" s="250" t="s">
        <v>342</v>
      </c>
      <c r="D11" s="247">
        <v>15</v>
      </c>
      <c r="E11" s="247">
        <v>290</v>
      </c>
      <c r="F11" s="247">
        <v>2016</v>
      </c>
      <c r="G11" s="249">
        <f t="shared" si="0"/>
        <v>3480</v>
      </c>
    </row>
    <row r="12" spans="1:12" s="246" customFormat="1" ht="24.95" customHeight="1">
      <c r="A12" s="247">
        <v>7</v>
      </c>
      <c r="B12" s="250" t="s">
        <v>343</v>
      </c>
      <c r="C12" s="250" t="s">
        <v>344</v>
      </c>
      <c r="D12" s="247">
        <v>15</v>
      </c>
      <c r="E12" s="247">
        <v>245</v>
      </c>
      <c r="F12" s="247">
        <v>2016</v>
      </c>
      <c r="G12" s="249">
        <f t="shared" si="0"/>
        <v>2940</v>
      </c>
    </row>
    <row r="13" spans="1:12" s="246" customFormat="1" ht="24.95" customHeight="1">
      <c r="A13" s="247">
        <v>8</v>
      </c>
      <c r="B13" s="250" t="s">
        <v>345</v>
      </c>
      <c r="C13" s="250" t="s">
        <v>346</v>
      </c>
      <c r="D13" s="247">
        <v>16</v>
      </c>
      <c r="E13" s="247">
        <v>297</v>
      </c>
      <c r="F13" s="247">
        <v>2016</v>
      </c>
      <c r="G13" s="249">
        <f t="shared" si="0"/>
        <v>3564</v>
      </c>
    </row>
    <row r="14" spans="1:12" s="246" customFormat="1" ht="24.95" customHeight="1">
      <c r="A14" s="247">
        <v>9</v>
      </c>
      <c r="B14" s="251" t="s">
        <v>347</v>
      </c>
      <c r="C14" s="251" t="s">
        <v>348</v>
      </c>
      <c r="D14" s="252">
        <v>7</v>
      </c>
      <c r="E14" s="252">
        <v>105</v>
      </c>
      <c r="F14" s="252">
        <v>2016</v>
      </c>
      <c r="G14" s="249">
        <f t="shared" si="0"/>
        <v>1260</v>
      </c>
      <c r="I14" s="246" t="s">
        <v>349</v>
      </c>
      <c r="J14" s="246">
        <v>6</v>
      </c>
    </row>
    <row r="15" spans="1:12" s="246" customFormat="1" ht="24.95" customHeight="1">
      <c r="A15" s="247">
        <v>10</v>
      </c>
      <c r="B15" s="251" t="s">
        <v>350</v>
      </c>
      <c r="C15" s="251" t="s">
        <v>351</v>
      </c>
      <c r="D15" s="252">
        <v>14</v>
      </c>
      <c r="E15" s="252">
        <v>210</v>
      </c>
      <c r="F15" s="252">
        <v>2016</v>
      </c>
      <c r="G15" s="249">
        <f t="shared" si="0"/>
        <v>2520</v>
      </c>
    </row>
    <row r="16" spans="1:12" s="246" customFormat="1" ht="24.95" customHeight="1">
      <c r="A16" s="247">
        <v>11</v>
      </c>
      <c r="B16" s="251" t="s">
        <v>352</v>
      </c>
      <c r="C16" s="251" t="s">
        <v>353</v>
      </c>
      <c r="D16" s="252">
        <v>12</v>
      </c>
      <c r="E16" s="252">
        <v>180</v>
      </c>
      <c r="F16" s="252">
        <v>2016</v>
      </c>
      <c r="G16" s="249">
        <f t="shared" si="0"/>
        <v>2160</v>
      </c>
      <c r="L16" s="246">
        <v>11</v>
      </c>
    </row>
    <row r="17" spans="1:12" s="246" customFormat="1" ht="24.95" customHeight="1">
      <c r="A17" s="247">
        <v>12</v>
      </c>
      <c r="B17" s="248" t="s">
        <v>354</v>
      </c>
      <c r="C17" s="248" t="s">
        <v>355</v>
      </c>
      <c r="D17" s="247">
        <v>8</v>
      </c>
      <c r="E17" s="247">
        <v>180</v>
      </c>
      <c r="F17" s="247">
        <v>2017</v>
      </c>
      <c r="G17" s="249">
        <f t="shared" si="0"/>
        <v>2160</v>
      </c>
    </row>
    <row r="18" spans="1:12" s="246" customFormat="1" ht="24.95" customHeight="1">
      <c r="A18" s="247">
        <v>13</v>
      </c>
      <c r="B18" s="250" t="s">
        <v>356</v>
      </c>
      <c r="C18" s="250" t="s">
        <v>357</v>
      </c>
      <c r="D18" s="247">
        <v>7</v>
      </c>
      <c r="E18" s="247">
        <v>148</v>
      </c>
      <c r="F18" s="247">
        <v>2017</v>
      </c>
      <c r="G18" s="249">
        <f t="shared" si="0"/>
        <v>1776</v>
      </c>
      <c r="I18" s="246">
        <v>2017</v>
      </c>
      <c r="J18" s="246" t="s">
        <v>358</v>
      </c>
    </row>
    <row r="19" spans="1:12" s="246" customFormat="1" ht="24.95" customHeight="1">
      <c r="A19" s="247">
        <v>14</v>
      </c>
      <c r="B19" s="250" t="s">
        <v>343</v>
      </c>
      <c r="C19" s="250" t="s">
        <v>359</v>
      </c>
      <c r="D19" s="247">
        <v>8</v>
      </c>
      <c r="E19" s="247">
        <v>178</v>
      </c>
      <c r="F19" s="247">
        <v>2017</v>
      </c>
      <c r="G19" s="249">
        <f t="shared" si="0"/>
        <v>2136</v>
      </c>
    </row>
    <row r="20" spans="1:12" s="246" customFormat="1" ht="24.95" customHeight="1">
      <c r="A20" s="247">
        <v>15</v>
      </c>
      <c r="B20" s="250" t="s">
        <v>360</v>
      </c>
      <c r="C20" s="250" t="s">
        <v>361</v>
      </c>
      <c r="D20" s="247">
        <v>5</v>
      </c>
      <c r="E20" s="247">
        <v>85</v>
      </c>
      <c r="F20" s="247">
        <v>2017</v>
      </c>
      <c r="G20" s="249">
        <f t="shared" si="0"/>
        <v>1020</v>
      </c>
    </row>
    <row r="21" spans="1:12" s="246" customFormat="1" ht="24.95" customHeight="1">
      <c r="A21" s="247">
        <v>16</v>
      </c>
      <c r="B21" s="250" t="s">
        <v>362</v>
      </c>
      <c r="C21" s="250" t="s">
        <v>363</v>
      </c>
      <c r="D21" s="247">
        <v>11</v>
      </c>
      <c r="E21" s="247">
        <v>250</v>
      </c>
      <c r="F21" s="247">
        <v>2017</v>
      </c>
      <c r="G21" s="249">
        <f t="shared" si="0"/>
        <v>3000</v>
      </c>
      <c r="I21" s="246" t="s">
        <v>364</v>
      </c>
      <c r="J21" s="246">
        <v>6</v>
      </c>
    </row>
    <row r="22" spans="1:12" s="246" customFormat="1" ht="24.95" customHeight="1">
      <c r="A22" s="247">
        <v>17</v>
      </c>
      <c r="B22" s="250" t="s">
        <v>365</v>
      </c>
      <c r="C22" s="250" t="s">
        <v>366</v>
      </c>
      <c r="D22" s="247">
        <v>7</v>
      </c>
      <c r="E22" s="247">
        <v>159</v>
      </c>
      <c r="F22" s="247">
        <v>2017</v>
      </c>
      <c r="G22" s="249">
        <f t="shared" si="0"/>
        <v>1908</v>
      </c>
    </row>
    <row r="23" spans="1:12" s="246" customFormat="1" ht="24.95" customHeight="1">
      <c r="A23" s="247">
        <v>18</v>
      </c>
      <c r="B23" s="250" t="s">
        <v>367</v>
      </c>
      <c r="C23" s="250" t="s">
        <v>368</v>
      </c>
      <c r="D23" s="247">
        <v>5</v>
      </c>
      <c r="E23" s="247">
        <v>150</v>
      </c>
      <c r="F23" s="247">
        <v>2017</v>
      </c>
      <c r="G23" s="249">
        <f t="shared" si="0"/>
        <v>1800</v>
      </c>
    </row>
    <row r="24" spans="1:12" s="246" customFormat="1" ht="24.95" customHeight="1">
      <c r="A24" s="247">
        <v>19</v>
      </c>
      <c r="B24" s="251" t="s">
        <v>369</v>
      </c>
      <c r="C24" s="251" t="s">
        <v>370</v>
      </c>
      <c r="D24" s="252">
        <v>10</v>
      </c>
      <c r="E24" s="252">
        <v>152</v>
      </c>
      <c r="F24" s="252">
        <v>2017</v>
      </c>
      <c r="G24" s="249">
        <f t="shared" si="0"/>
        <v>1824</v>
      </c>
      <c r="L24" s="246">
        <v>8</v>
      </c>
    </row>
    <row r="25" spans="1:12" s="246" customFormat="1" ht="24.95" customHeight="1">
      <c r="A25" s="247">
        <v>20</v>
      </c>
      <c r="B25" s="250" t="s">
        <v>371</v>
      </c>
      <c r="C25" s="250" t="s">
        <v>372</v>
      </c>
      <c r="D25" s="247">
        <v>7</v>
      </c>
      <c r="E25" s="247">
        <v>137</v>
      </c>
      <c r="F25" s="247">
        <v>2018</v>
      </c>
      <c r="G25" s="249">
        <f t="shared" si="0"/>
        <v>1644</v>
      </c>
    </row>
    <row r="26" spans="1:12" s="246" customFormat="1" ht="24.95" customHeight="1">
      <c r="A26" s="247">
        <v>21</v>
      </c>
      <c r="B26" s="250" t="s">
        <v>373</v>
      </c>
      <c r="C26" s="250" t="s">
        <v>374</v>
      </c>
      <c r="D26" s="247">
        <v>7</v>
      </c>
      <c r="E26" s="247">
        <v>250</v>
      </c>
      <c r="F26" s="247">
        <v>2018</v>
      </c>
      <c r="G26" s="249">
        <f t="shared" si="0"/>
        <v>3000</v>
      </c>
    </row>
    <row r="27" spans="1:12" s="246" customFormat="1" ht="24.95" customHeight="1">
      <c r="A27" s="247">
        <v>22</v>
      </c>
      <c r="B27" s="250" t="s">
        <v>375</v>
      </c>
      <c r="C27" s="250" t="s">
        <v>376</v>
      </c>
      <c r="D27" s="247">
        <v>5</v>
      </c>
      <c r="E27" s="247">
        <v>140</v>
      </c>
      <c r="F27" s="247">
        <v>2018</v>
      </c>
      <c r="G27" s="249">
        <f t="shared" si="0"/>
        <v>1680</v>
      </c>
      <c r="I27" s="246" t="s">
        <v>377</v>
      </c>
      <c r="J27" s="246">
        <v>11</v>
      </c>
    </row>
    <row r="28" spans="1:12" s="246" customFormat="1" ht="24.95" customHeight="1">
      <c r="A28" s="247">
        <v>23</v>
      </c>
      <c r="B28" s="251" t="s">
        <v>378</v>
      </c>
      <c r="C28" s="251" t="s">
        <v>379</v>
      </c>
      <c r="D28" s="252">
        <v>8</v>
      </c>
      <c r="E28" s="252">
        <v>121</v>
      </c>
      <c r="F28" s="252">
        <v>2018</v>
      </c>
      <c r="G28" s="249">
        <f t="shared" si="0"/>
        <v>1452</v>
      </c>
      <c r="L28" s="246">
        <v>4</v>
      </c>
    </row>
    <row r="29" spans="1:12" s="246" customFormat="1" ht="24.95" customHeight="1">
      <c r="A29" s="247">
        <v>24</v>
      </c>
      <c r="B29" s="250" t="s">
        <v>380</v>
      </c>
      <c r="C29" s="250" t="s">
        <v>381</v>
      </c>
      <c r="D29" s="247">
        <v>8</v>
      </c>
      <c r="E29" s="247">
        <v>190</v>
      </c>
      <c r="F29" s="247">
        <v>2019</v>
      </c>
      <c r="G29" s="249">
        <f t="shared" si="0"/>
        <v>2280</v>
      </c>
      <c r="I29" s="246">
        <v>2018</v>
      </c>
      <c r="J29" s="246" t="s">
        <v>382</v>
      </c>
      <c r="L29" s="246">
        <v>1</v>
      </c>
    </row>
    <row r="30" spans="1:12" s="246" customFormat="1" ht="24.95" customHeight="1">
      <c r="A30" s="247">
        <v>25</v>
      </c>
      <c r="B30" s="250" t="s">
        <v>383</v>
      </c>
      <c r="C30" s="250" t="s">
        <v>384</v>
      </c>
      <c r="D30" s="247">
        <v>14</v>
      </c>
      <c r="E30" s="247">
        <v>312</v>
      </c>
      <c r="F30" s="247">
        <v>2020</v>
      </c>
      <c r="G30" s="249">
        <f t="shared" si="0"/>
        <v>3744</v>
      </c>
      <c r="I30" s="246">
        <v>2019</v>
      </c>
      <c r="J30" s="246" t="s">
        <v>385</v>
      </c>
    </row>
    <row r="31" spans="1:12" s="246" customFormat="1" ht="24.95" customHeight="1">
      <c r="A31" s="247">
        <v>26</v>
      </c>
      <c r="B31" s="250" t="s">
        <v>386</v>
      </c>
      <c r="C31" s="250" t="s">
        <v>387</v>
      </c>
      <c r="D31" s="247">
        <v>10</v>
      </c>
      <c r="E31" s="247">
        <v>210</v>
      </c>
      <c r="F31" s="247">
        <v>2020</v>
      </c>
      <c r="G31" s="249">
        <f t="shared" si="0"/>
        <v>2520</v>
      </c>
      <c r="I31" s="246">
        <v>2020</v>
      </c>
      <c r="J31" s="246" t="s">
        <v>358</v>
      </c>
    </row>
    <row r="32" spans="1:12" s="246" customFormat="1" ht="24.95" customHeight="1">
      <c r="A32" s="247">
        <v>27</v>
      </c>
      <c r="B32" s="250" t="s">
        <v>388</v>
      </c>
      <c r="C32" s="250" t="s">
        <v>389</v>
      </c>
      <c r="D32" s="247">
        <v>10</v>
      </c>
      <c r="E32" s="247">
        <v>230</v>
      </c>
      <c r="F32" s="247">
        <v>2020</v>
      </c>
      <c r="G32" s="249">
        <f t="shared" si="0"/>
        <v>2760</v>
      </c>
      <c r="I32" s="246">
        <v>2021</v>
      </c>
      <c r="J32" s="246">
        <v>0</v>
      </c>
    </row>
    <row r="33" spans="1:12" s="246" customFormat="1" ht="24.95" customHeight="1">
      <c r="A33" s="247">
        <v>28</v>
      </c>
      <c r="B33" s="250" t="s">
        <v>390</v>
      </c>
      <c r="C33" s="250" t="s">
        <v>391</v>
      </c>
      <c r="D33" s="247">
        <v>9</v>
      </c>
      <c r="E33" s="247">
        <v>200</v>
      </c>
      <c r="F33" s="247">
        <v>2020</v>
      </c>
      <c r="G33" s="249">
        <f t="shared" si="0"/>
        <v>2400</v>
      </c>
      <c r="I33" s="246">
        <v>2022</v>
      </c>
      <c r="J33" s="246">
        <v>1</v>
      </c>
    </row>
    <row r="34" spans="1:12" s="246" customFormat="1" ht="24.95" customHeight="1">
      <c r="A34" s="247">
        <v>29</v>
      </c>
      <c r="B34" s="248" t="s">
        <v>392</v>
      </c>
      <c r="C34" s="248" t="s">
        <v>393</v>
      </c>
      <c r="D34" s="247">
        <v>6</v>
      </c>
      <c r="E34" s="247">
        <v>155</v>
      </c>
      <c r="F34" s="247">
        <v>2020</v>
      </c>
      <c r="G34" s="249">
        <f t="shared" si="0"/>
        <v>1860</v>
      </c>
    </row>
    <row r="35" spans="1:12" s="246" customFormat="1" ht="24.95" customHeight="1">
      <c r="A35" s="247">
        <v>30</v>
      </c>
      <c r="B35" s="250" t="s">
        <v>394</v>
      </c>
      <c r="C35" s="250" t="s">
        <v>395</v>
      </c>
      <c r="D35" s="247">
        <v>13</v>
      </c>
      <c r="E35" s="247">
        <v>200</v>
      </c>
      <c r="F35" s="247">
        <v>2020</v>
      </c>
      <c r="G35" s="249">
        <f t="shared" si="0"/>
        <v>2400</v>
      </c>
      <c r="I35" s="246">
        <v>2024</v>
      </c>
      <c r="J35" s="246">
        <v>2</v>
      </c>
    </row>
    <row r="36" spans="1:12" s="246" customFormat="1" ht="24.95" customHeight="1">
      <c r="A36" s="247">
        <v>31</v>
      </c>
      <c r="B36" s="250" t="s">
        <v>396</v>
      </c>
      <c r="C36" s="250" t="s">
        <v>397</v>
      </c>
      <c r="D36" s="247">
        <v>7</v>
      </c>
      <c r="E36" s="247">
        <v>209</v>
      </c>
      <c r="F36" s="247">
        <v>2020</v>
      </c>
      <c r="G36" s="249">
        <f t="shared" si="0"/>
        <v>2508</v>
      </c>
      <c r="L36" s="246">
        <v>7</v>
      </c>
    </row>
    <row r="37" spans="1:12" s="246" customFormat="1" ht="24.95" customHeight="1">
      <c r="A37" s="247">
        <v>32</v>
      </c>
      <c r="B37" s="250" t="s">
        <v>398</v>
      </c>
      <c r="C37" s="250" t="s">
        <v>399</v>
      </c>
      <c r="D37" s="247">
        <v>7</v>
      </c>
      <c r="E37" s="247">
        <v>200</v>
      </c>
      <c r="F37" s="247">
        <v>2022</v>
      </c>
      <c r="G37" s="249">
        <f t="shared" si="0"/>
        <v>2400</v>
      </c>
      <c r="L37" s="246">
        <v>1</v>
      </c>
    </row>
    <row r="38" spans="1:12" s="246" customFormat="1" ht="24.95" customHeight="1">
      <c r="A38" s="247">
        <v>33</v>
      </c>
      <c r="B38" s="250" t="s">
        <v>400</v>
      </c>
      <c r="C38" s="250" t="s">
        <v>401</v>
      </c>
      <c r="D38" s="247">
        <v>9</v>
      </c>
      <c r="E38" s="247">
        <v>220</v>
      </c>
      <c r="F38" s="247">
        <v>2023</v>
      </c>
      <c r="G38" s="249">
        <f t="shared" ref="G38:G63" si="1">E38*12</f>
        <v>2640</v>
      </c>
      <c r="I38" s="246" t="s">
        <v>402</v>
      </c>
      <c r="J38" s="246">
        <v>7</v>
      </c>
      <c r="L38" s="246">
        <v>1</v>
      </c>
    </row>
    <row r="39" spans="1:12" s="246" customFormat="1" ht="24.95" customHeight="1">
      <c r="A39" s="247">
        <v>34</v>
      </c>
      <c r="B39" s="250" t="s">
        <v>403</v>
      </c>
      <c r="C39" s="250" t="s">
        <v>404</v>
      </c>
      <c r="D39" s="247">
        <v>10</v>
      </c>
      <c r="E39" s="247">
        <v>190</v>
      </c>
      <c r="F39" s="247">
        <v>2024</v>
      </c>
      <c r="G39" s="249">
        <f t="shared" si="1"/>
        <v>2280</v>
      </c>
      <c r="I39" s="246">
        <v>2025</v>
      </c>
      <c r="J39" s="246" t="s">
        <v>405</v>
      </c>
    </row>
    <row r="40" spans="1:12" s="246" customFormat="1" ht="24.95" customHeight="1">
      <c r="A40" s="247">
        <v>35</v>
      </c>
      <c r="B40" s="248" t="s">
        <v>406</v>
      </c>
      <c r="C40" s="248" t="s">
        <v>407</v>
      </c>
      <c r="D40" s="247">
        <v>8</v>
      </c>
      <c r="E40" s="247">
        <v>240</v>
      </c>
      <c r="F40" s="247">
        <v>2024</v>
      </c>
      <c r="G40" s="249">
        <f t="shared" si="1"/>
        <v>2880</v>
      </c>
      <c r="L40" s="246">
        <v>2</v>
      </c>
    </row>
    <row r="41" spans="1:12" s="246" customFormat="1" ht="24.95" customHeight="1">
      <c r="A41" s="247">
        <v>36</v>
      </c>
      <c r="B41" s="248" t="s">
        <v>408</v>
      </c>
      <c r="C41" s="248" t="s">
        <v>409</v>
      </c>
      <c r="D41" s="247">
        <v>6</v>
      </c>
      <c r="E41" s="247">
        <v>160</v>
      </c>
      <c r="F41" s="247">
        <v>2025</v>
      </c>
      <c r="G41" s="249">
        <f t="shared" si="1"/>
        <v>1920</v>
      </c>
    </row>
    <row r="42" spans="1:12" s="246" customFormat="1" ht="24.95" customHeight="1">
      <c r="A42" s="247">
        <v>37</v>
      </c>
      <c r="B42" s="250" t="s">
        <v>365</v>
      </c>
      <c r="C42" s="250" t="s">
        <v>410</v>
      </c>
      <c r="D42" s="247">
        <v>9</v>
      </c>
      <c r="E42" s="247">
        <v>200</v>
      </c>
      <c r="F42" s="247">
        <v>2025</v>
      </c>
      <c r="G42" s="249">
        <f t="shared" si="1"/>
        <v>2400</v>
      </c>
    </row>
    <row r="43" spans="1:12" s="246" customFormat="1" ht="24.95" customHeight="1">
      <c r="A43" s="247">
        <v>38</v>
      </c>
      <c r="B43" s="250" t="s">
        <v>411</v>
      </c>
      <c r="C43" s="250" t="s">
        <v>412</v>
      </c>
      <c r="D43" s="247">
        <v>12</v>
      </c>
      <c r="E43" s="247">
        <v>240</v>
      </c>
      <c r="F43" s="247">
        <v>2025</v>
      </c>
      <c r="G43" s="249">
        <f t="shared" si="1"/>
        <v>2880</v>
      </c>
    </row>
    <row r="44" spans="1:12" s="246" customFormat="1" ht="24.95" customHeight="1">
      <c r="A44" s="247">
        <v>39</v>
      </c>
      <c r="B44" s="250" t="s">
        <v>413</v>
      </c>
      <c r="C44" s="250" t="s">
        <v>414</v>
      </c>
      <c r="D44" s="247">
        <v>8</v>
      </c>
      <c r="E44" s="247">
        <v>170</v>
      </c>
      <c r="F44" s="247">
        <v>2025</v>
      </c>
      <c r="G44" s="249">
        <f t="shared" si="1"/>
        <v>2040</v>
      </c>
      <c r="I44" s="246" t="s">
        <v>415</v>
      </c>
      <c r="J44" s="246">
        <v>6</v>
      </c>
    </row>
    <row r="45" spans="1:12" s="246" customFormat="1" ht="24.95" customHeight="1">
      <c r="A45" s="247">
        <v>40</v>
      </c>
      <c r="B45" s="250" t="s">
        <v>416</v>
      </c>
      <c r="C45" s="250" t="s">
        <v>417</v>
      </c>
      <c r="D45" s="247">
        <v>7</v>
      </c>
      <c r="E45" s="247">
        <v>186</v>
      </c>
      <c r="F45" s="247">
        <v>2025</v>
      </c>
      <c r="G45" s="249">
        <f t="shared" si="1"/>
        <v>2232</v>
      </c>
    </row>
    <row r="46" spans="1:12" s="246" customFormat="1" ht="24.95" customHeight="1">
      <c r="A46" s="247">
        <v>41</v>
      </c>
      <c r="B46" s="250" t="s">
        <v>418</v>
      </c>
      <c r="C46" s="250" t="s">
        <v>570</v>
      </c>
      <c r="D46" s="247">
        <v>7</v>
      </c>
      <c r="E46" s="247">
        <v>200</v>
      </c>
      <c r="F46" s="247">
        <v>2025</v>
      </c>
      <c r="G46" s="249">
        <f t="shared" si="1"/>
        <v>2400</v>
      </c>
    </row>
    <row r="47" spans="1:12" s="246" customFormat="1" ht="24.95" customHeight="1">
      <c r="A47" s="247">
        <v>42</v>
      </c>
      <c r="B47" s="251" t="s">
        <v>419</v>
      </c>
      <c r="C47" s="251" t="s">
        <v>420</v>
      </c>
      <c r="D47" s="253">
        <v>10</v>
      </c>
      <c r="E47" s="253">
        <v>153</v>
      </c>
      <c r="F47" s="253">
        <v>2025</v>
      </c>
      <c r="G47" s="249">
        <f t="shared" si="1"/>
        <v>1836</v>
      </c>
    </row>
    <row r="48" spans="1:12" s="246" customFormat="1" ht="24.95" customHeight="1">
      <c r="A48" s="247">
        <v>43</v>
      </c>
      <c r="B48" s="250" t="s">
        <v>421</v>
      </c>
      <c r="C48" s="250" t="s">
        <v>422</v>
      </c>
      <c r="D48" s="247">
        <v>7</v>
      </c>
      <c r="E48" s="247">
        <v>160</v>
      </c>
      <c r="F48" s="247">
        <v>2025</v>
      </c>
      <c r="G48" s="249">
        <f t="shared" si="1"/>
        <v>1920</v>
      </c>
      <c r="I48" s="246" t="s">
        <v>423</v>
      </c>
      <c r="J48" s="246">
        <v>8</v>
      </c>
      <c r="L48" s="246">
        <v>8</v>
      </c>
    </row>
    <row r="49" spans="1:14" s="246" customFormat="1" ht="24.95" customHeight="1">
      <c r="A49" s="247">
        <v>44</v>
      </c>
      <c r="B49" s="248" t="s">
        <v>424</v>
      </c>
      <c r="C49" s="248" t="s">
        <v>425</v>
      </c>
      <c r="D49" s="247">
        <v>7</v>
      </c>
      <c r="E49" s="247">
        <v>160</v>
      </c>
      <c r="F49" s="247">
        <v>2030</v>
      </c>
      <c r="G49" s="249">
        <f t="shared" si="1"/>
        <v>1920</v>
      </c>
    </row>
    <row r="50" spans="1:14" s="246" customFormat="1" ht="24.95" customHeight="1">
      <c r="A50" s="247">
        <v>45</v>
      </c>
      <c r="B50" s="248" t="s">
        <v>426</v>
      </c>
      <c r="C50" s="248" t="s">
        <v>427</v>
      </c>
      <c r="D50" s="247">
        <v>7</v>
      </c>
      <c r="E50" s="247">
        <v>160</v>
      </c>
      <c r="F50" s="247">
        <v>2030</v>
      </c>
      <c r="G50" s="249">
        <f t="shared" si="1"/>
        <v>1920</v>
      </c>
      <c r="I50" s="246">
        <v>2030</v>
      </c>
      <c r="J50" s="246" t="s">
        <v>428</v>
      </c>
    </row>
    <row r="51" spans="1:14" s="246" customFormat="1" ht="24.95" customHeight="1">
      <c r="A51" s="247">
        <v>46</v>
      </c>
      <c r="B51" s="250" t="s">
        <v>429</v>
      </c>
      <c r="C51" s="250" t="s">
        <v>430</v>
      </c>
      <c r="D51" s="247">
        <v>9</v>
      </c>
      <c r="E51" s="247">
        <v>200</v>
      </c>
      <c r="F51" s="247">
        <v>2030</v>
      </c>
      <c r="G51" s="249">
        <f t="shared" si="1"/>
        <v>2400</v>
      </c>
    </row>
    <row r="52" spans="1:14" s="246" customFormat="1" ht="24.95" customHeight="1">
      <c r="A52" s="247">
        <v>47</v>
      </c>
      <c r="B52" s="250" t="s">
        <v>431</v>
      </c>
      <c r="C52" s="250" t="s">
        <v>432</v>
      </c>
      <c r="D52" s="247">
        <v>7</v>
      </c>
      <c r="E52" s="247">
        <v>175</v>
      </c>
      <c r="F52" s="247">
        <v>2030</v>
      </c>
      <c r="G52" s="249">
        <f t="shared" si="1"/>
        <v>2100</v>
      </c>
    </row>
    <row r="53" spans="1:14" s="246" customFormat="1" ht="24.95" customHeight="1">
      <c r="A53" s="247">
        <v>48</v>
      </c>
      <c r="B53" s="250" t="s">
        <v>433</v>
      </c>
      <c r="C53" s="250" t="s">
        <v>434</v>
      </c>
      <c r="D53" s="247">
        <v>7</v>
      </c>
      <c r="E53" s="247">
        <v>164</v>
      </c>
      <c r="F53" s="247">
        <v>2030</v>
      </c>
      <c r="G53" s="249">
        <f t="shared" si="1"/>
        <v>1968</v>
      </c>
    </row>
    <row r="54" spans="1:14" s="246" customFormat="1" ht="24.95" customHeight="1">
      <c r="A54" s="247">
        <v>49</v>
      </c>
      <c r="B54" s="250" t="s">
        <v>435</v>
      </c>
      <c r="C54" s="250" t="s">
        <v>436</v>
      </c>
      <c r="D54" s="247">
        <v>8</v>
      </c>
      <c r="E54" s="247">
        <v>179</v>
      </c>
      <c r="F54" s="247">
        <v>2030</v>
      </c>
      <c r="G54" s="249">
        <f t="shared" si="1"/>
        <v>2148</v>
      </c>
    </row>
    <row r="55" spans="1:14" s="246" customFormat="1" ht="24.95" customHeight="1">
      <c r="A55" s="247">
        <v>50</v>
      </c>
      <c r="B55" s="250" t="s">
        <v>437</v>
      </c>
      <c r="C55" s="250" t="s">
        <v>438</v>
      </c>
      <c r="D55" s="247">
        <v>7</v>
      </c>
      <c r="E55" s="247">
        <v>160</v>
      </c>
      <c r="F55" s="247">
        <v>2030</v>
      </c>
      <c r="G55" s="249">
        <f t="shared" si="1"/>
        <v>1920</v>
      </c>
      <c r="I55" s="246" t="s">
        <v>439</v>
      </c>
      <c r="J55" s="246">
        <v>3</v>
      </c>
    </row>
    <row r="56" spans="1:14" s="246" customFormat="1" ht="24.95" customHeight="1">
      <c r="A56" s="247">
        <v>51</v>
      </c>
      <c r="B56" s="250" t="s">
        <v>440</v>
      </c>
      <c r="C56" s="250" t="s">
        <v>441</v>
      </c>
      <c r="D56" s="247">
        <v>9</v>
      </c>
      <c r="E56" s="247">
        <v>215</v>
      </c>
      <c r="F56" s="247">
        <v>2030</v>
      </c>
      <c r="G56" s="249">
        <f t="shared" si="1"/>
        <v>2580</v>
      </c>
      <c r="I56" s="246" t="s">
        <v>442</v>
      </c>
      <c r="J56" s="246">
        <v>8</v>
      </c>
    </row>
    <row r="57" spans="1:14" s="246" customFormat="1" ht="24.95" customHeight="1">
      <c r="A57" s="247">
        <v>52</v>
      </c>
      <c r="B57" s="250" t="s">
        <v>443</v>
      </c>
      <c r="C57" s="250" t="s">
        <v>444</v>
      </c>
      <c r="D57" s="247">
        <v>7</v>
      </c>
      <c r="E57" s="247">
        <v>155</v>
      </c>
      <c r="F57" s="247">
        <v>2030</v>
      </c>
      <c r="G57" s="249">
        <f t="shared" si="1"/>
        <v>1860</v>
      </c>
    </row>
    <row r="58" spans="1:14" s="246" customFormat="1" ht="24.95" customHeight="1">
      <c r="A58" s="247">
        <v>53</v>
      </c>
      <c r="B58" s="250" t="s">
        <v>445</v>
      </c>
      <c r="C58" s="250" t="s">
        <v>446</v>
      </c>
      <c r="D58" s="247">
        <v>7</v>
      </c>
      <c r="E58" s="247">
        <v>185</v>
      </c>
      <c r="F58" s="247">
        <v>2030</v>
      </c>
      <c r="G58" s="249">
        <f t="shared" si="1"/>
        <v>2220</v>
      </c>
    </row>
    <row r="59" spans="1:14" s="246" customFormat="1" ht="24.95" customHeight="1">
      <c r="A59" s="247">
        <v>54</v>
      </c>
      <c r="B59" s="250" t="s">
        <v>447</v>
      </c>
      <c r="C59" s="250" t="s">
        <v>448</v>
      </c>
      <c r="D59" s="247">
        <v>7</v>
      </c>
      <c r="E59" s="247">
        <v>170</v>
      </c>
      <c r="F59" s="247">
        <v>2030</v>
      </c>
      <c r="G59" s="249">
        <f t="shared" si="1"/>
        <v>2040</v>
      </c>
    </row>
    <row r="60" spans="1:14" s="246" customFormat="1" ht="24.95" customHeight="1">
      <c r="A60" s="247">
        <v>55</v>
      </c>
      <c r="B60" s="250" t="s">
        <v>449</v>
      </c>
      <c r="C60" s="250" t="s">
        <v>450</v>
      </c>
      <c r="D60" s="247">
        <v>5</v>
      </c>
      <c r="E60" s="247">
        <v>130</v>
      </c>
      <c r="F60" s="247">
        <v>2030</v>
      </c>
      <c r="G60" s="249">
        <f t="shared" si="1"/>
        <v>1560</v>
      </c>
    </row>
    <row r="61" spans="1:14" s="246" customFormat="1" ht="24.95" customHeight="1">
      <c r="A61" s="247">
        <v>56</v>
      </c>
      <c r="B61" s="250" t="s">
        <v>451</v>
      </c>
      <c r="C61" s="250" t="s">
        <v>452</v>
      </c>
      <c r="D61" s="247">
        <v>6</v>
      </c>
      <c r="E61" s="247">
        <v>145</v>
      </c>
      <c r="F61" s="247">
        <v>2030</v>
      </c>
      <c r="G61" s="249">
        <f t="shared" si="1"/>
        <v>1740</v>
      </c>
    </row>
    <row r="62" spans="1:14" s="246" customFormat="1" ht="24.95" customHeight="1">
      <c r="A62" s="247">
        <v>57</v>
      </c>
      <c r="B62" s="251" t="s">
        <v>453</v>
      </c>
      <c r="C62" s="251" t="s">
        <v>454</v>
      </c>
      <c r="D62" s="253">
        <v>7</v>
      </c>
      <c r="E62" s="253">
        <v>110</v>
      </c>
      <c r="F62" s="253">
        <v>2030</v>
      </c>
      <c r="G62" s="249">
        <f t="shared" si="1"/>
        <v>1320</v>
      </c>
    </row>
    <row r="63" spans="1:14" s="246" customFormat="1" ht="24.95" customHeight="1">
      <c r="A63" s="247">
        <v>58</v>
      </c>
      <c r="B63" s="251" t="s">
        <v>455</v>
      </c>
      <c r="C63" s="251" t="s">
        <v>456</v>
      </c>
      <c r="D63" s="253">
        <v>7</v>
      </c>
      <c r="E63" s="253">
        <v>113</v>
      </c>
      <c r="F63" s="253">
        <v>2030</v>
      </c>
      <c r="G63" s="249">
        <f t="shared" si="1"/>
        <v>1356</v>
      </c>
      <c r="I63" s="246" t="s">
        <v>457</v>
      </c>
      <c r="J63" s="246">
        <f>+J56+J48++J55+J44+J38+J27+J21+J14+J6</f>
        <v>64</v>
      </c>
      <c r="L63" s="246">
        <v>15</v>
      </c>
      <c r="M63" s="246">
        <v>171</v>
      </c>
      <c r="N63" s="246">
        <f>M63+58</f>
        <v>229</v>
      </c>
    </row>
    <row r="64" spans="1:14" s="246" customFormat="1" ht="24.95" customHeight="1">
      <c r="A64" s="244" t="s">
        <v>458</v>
      </c>
      <c r="B64" s="245" t="s">
        <v>459</v>
      </c>
      <c r="C64" s="244"/>
      <c r="D64" s="244"/>
      <c r="E64" s="244"/>
      <c r="F64" s="244"/>
      <c r="G64" s="254"/>
      <c r="L64" s="246">
        <v>16</v>
      </c>
      <c r="M64" s="255">
        <v>11</v>
      </c>
      <c r="N64" s="246">
        <f>M63+M64</f>
        <v>182</v>
      </c>
    </row>
    <row r="65" spans="1:14" s="246" customFormat="1" ht="24.95" customHeight="1">
      <c r="A65" s="247">
        <v>1</v>
      </c>
      <c r="B65" s="248" t="s">
        <v>460</v>
      </c>
      <c r="C65" s="248" t="s">
        <v>461</v>
      </c>
      <c r="D65" s="252">
        <v>13</v>
      </c>
      <c r="E65" s="252">
        <v>222</v>
      </c>
      <c r="F65" s="252">
        <v>2016</v>
      </c>
      <c r="G65" s="256">
        <f t="shared" ref="G65:G96" si="2">E65*10</f>
        <v>2220</v>
      </c>
      <c r="L65" s="246">
        <v>17</v>
      </c>
      <c r="M65" s="255">
        <v>8</v>
      </c>
      <c r="N65" s="246">
        <f t="shared" ref="N65:N73" si="3">N64+M65</f>
        <v>190</v>
      </c>
    </row>
    <row r="66" spans="1:14" s="246" customFormat="1" ht="24.95" customHeight="1">
      <c r="A66" s="247">
        <v>2</v>
      </c>
      <c r="B66" s="248" t="s">
        <v>462</v>
      </c>
      <c r="C66" s="248" t="s">
        <v>463</v>
      </c>
      <c r="D66" s="252">
        <v>10</v>
      </c>
      <c r="E66" s="252">
        <v>200</v>
      </c>
      <c r="F66" s="252">
        <v>2016</v>
      </c>
      <c r="G66" s="256">
        <f t="shared" si="2"/>
        <v>2000</v>
      </c>
      <c r="L66" s="246">
        <v>18</v>
      </c>
      <c r="M66" s="255">
        <v>4</v>
      </c>
      <c r="N66" s="246">
        <f t="shared" si="3"/>
        <v>194</v>
      </c>
    </row>
    <row r="67" spans="1:14" s="259" customFormat="1" ht="24.95" customHeight="1">
      <c r="A67" s="252">
        <v>3</v>
      </c>
      <c r="B67" s="257" t="s">
        <v>464</v>
      </c>
      <c r="C67" s="257" t="s">
        <v>465</v>
      </c>
      <c r="D67" s="258">
        <v>5</v>
      </c>
      <c r="E67" s="258">
        <v>103</v>
      </c>
      <c r="F67" s="258">
        <v>2016</v>
      </c>
      <c r="G67" s="256">
        <f t="shared" si="2"/>
        <v>1030</v>
      </c>
      <c r="L67" s="259">
        <v>19</v>
      </c>
      <c r="M67" s="260">
        <v>1</v>
      </c>
      <c r="N67" s="246">
        <f t="shared" si="3"/>
        <v>195</v>
      </c>
    </row>
    <row r="68" spans="1:14" s="259" customFormat="1" ht="24.95" customHeight="1">
      <c r="A68" s="252">
        <v>4</v>
      </c>
      <c r="B68" s="248" t="s">
        <v>466</v>
      </c>
      <c r="C68" s="248" t="s">
        <v>467</v>
      </c>
      <c r="D68" s="252">
        <v>15</v>
      </c>
      <c r="E68" s="252">
        <v>231</v>
      </c>
      <c r="F68" s="252">
        <v>2016</v>
      </c>
      <c r="G68" s="256">
        <f t="shared" si="2"/>
        <v>2310</v>
      </c>
      <c r="L68" s="259">
        <v>20</v>
      </c>
      <c r="M68" s="260">
        <v>7</v>
      </c>
      <c r="N68" s="246">
        <f t="shared" si="3"/>
        <v>202</v>
      </c>
    </row>
    <row r="69" spans="1:14" s="259" customFormat="1" ht="24.95" customHeight="1">
      <c r="A69" s="252">
        <v>5</v>
      </c>
      <c r="B69" s="251" t="s">
        <v>468</v>
      </c>
      <c r="C69" s="251" t="s">
        <v>469</v>
      </c>
      <c r="D69" s="253">
        <v>14</v>
      </c>
      <c r="E69" s="253">
        <v>252</v>
      </c>
      <c r="F69" s="253">
        <v>2016</v>
      </c>
      <c r="G69" s="256">
        <f t="shared" si="2"/>
        <v>2520</v>
      </c>
      <c r="L69" s="259">
        <v>22</v>
      </c>
      <c r="M69" s="260">
        <v>1</v>
      </c>
      <c r="N69" s="246">
        <f t="shared" si="3"/>
        <v>203</v>
      </c>
    </row>
    <row r="70" spans="1:14" s="261" customFormat="1" ht="24.95" customHeight="1">
      <c r="A70" s="252">
        <v>6</v>
      </c>
      <c r="B70" s="251" t="s">
        <v>470</v>
      </c>
      <c r="C70" s="251" t="s">
        <v>397</v>
      </c>
      <c r="D70" s="253">
        <v>16</v>
      </c>
      <c r="E70" s="253">
        <v>328</v>
      </c>
      <c r="F70" s="253">
        <v>2017</v>
      </c>
      <c r="G70" s="256">
        <f t="shared" si="2"/>
        <v>3280</v>
      </c>
      <c r="L70" s="262">
        <v>23</v>
      </c>
      <c r="M70" s="260">
        <v>1</v>
      </c>
      <c r="N70" s="246">
        <f t="shared" si="3"/>
        <v>204</v>
      </c>
    </row>
    <row r="71" spans="1:14" s="261" customFormat="1" ht="24.95" customHeight="1">
      <c r="A71" s="252">
        <v>7</v>
      </c>
      <c r="B71" s="248" t="s">
        <v>471</v>
      </c>
      <c r="C71" s="248" t="s">
        <v>389</v>
      </c>
      <c r="D71" s="252">
        <v>20</v>
      </c>
      <c r="E71" s="252">
        <v>297</v>
      </c>
      <c r="F71" s="252">
        <v>2017</v>
      </c>
      <c r="G71" s="256">
        <f t="shared" si="2"/>
        <v>2970</v>
      </c>
      <c r="L71" s="262">
        <v>24</v>
      </c>
      <c r="M71" s="260">
        <v>2</v>
      </c>
      <c r="N71" s="246">
        <f t="shared" si="3"/>
        <v>206</v>
      </c>
    </row>
    <row r="72" spans="1:14" s="261" customFormat="1" ht="24.95" customHeight="1">
      <c r="A72" s="252">
        <v>8</v>
      </c>
      <c r="B72" s="251" t="s">
        <v>472</v>
      </c>
      <c r="C72" s="251" t="s">
        <v>473</v>
      </c>
      <c r="D72" s="253">
        <v>12</v>
      </c>
      <c r="E72" s="253">
        <v>216</v>
      </c>
      <c r="F72" s="253">
        <v>2017</v>
      </c>
      <c r="G72" s="256">
        <f t="shared" si="2"/>
        <v>2160</v>
      </c>
      <c r="L72" s="262">
        <v>25</v>
      </c>
      <c r="M72" s="260">
        <v>8</v>
      </c>
      <c r="N72" s="246">
        <f t="shared" si="3"/>
        <v>214</v>
      </c>
    </row>
    <row r="73" spans="1:14" s="260" customFormat="1" ht="24.95" customHeight="1">
      <c r="A73" s="252">
        <v>9</v>
      </c>
      <c r="B73" s="251" t="s">
        <v>474</v>
      </c>
      <c r="C73" s="251" t="s">
        <v>475</v>
      </c>
      <c r="D73" s="253">
        <v>12</v>
      </c>
      <c r="E73" s="253">
        <v>225</v>
      </c>
      <c r="F73" s="253">
        <v>2018</v>
      </c>
      <c r="G73" s="256">
        <f t="shared" si="2"/>
        <v>2250</v>
      </c>
      <c r="L73" s="262">
        <v>30</v>
      </c>
      <c r="M73" s="260">
        <v>15</v>
      </c>
      <c r="N73" s="246">
        <f t="shared" si="3"/>
        <v>229</v>
      </c>
    </row>
    <row r="74" spans="1:14" s="260" customFormat="1" ht="24.95" customHeight="1">
      <c r="A74" s="252">
        <v>10</v>
      </c>
      <c r="B74" s="251" t="s">
        <v>476</v>
      </c>
      <c r="C74" s="251" t="s">
        <v>477</v>
      </c>
      <c r="D74" s="253">
        <v>10</v>
      </c>
      <c r="E74" s="253">
        <v>179</v>
      </c>
      <c r="F74" s="253">
        <v>2019</v>
      </c>
      <c r="G74" s="256">
        <f t="shared" si="2"/>
        <v>1790</v>
      </c>
    </row>
    <row r="75" spans="1:14" s="260" customFormat="1" ht="24.95" customHeight="1">
      <c r="A75" s="252">
        <v>11</v>
      </c>
      <c r="B75" s="248" t="s">
        <v>478</v>
      </c>
      <c r="C75" s="263" t="s">
        <v>374</v>
      </c>
      <c r="D75" s="252">
        <v>20</v>
      </c>
      <c r="E75" s="252">
        <v>500</v>
      </c>
      <c r="F75" s="252">
        <v>2019</v>
      </c>
      <c r="G75" s="256">
        <f t="shared" si="2"/>
        <v>5000</v>
      </c>
    </row>
    <row r="76" spans="1:14" s="260" customFormat="1" ht="24.95" customHeight="1">
      <c r="A76" s="252">
        <v>12</v>
      </c>
      <c r="B76" s="263" t="s">
        <v>479</v>
      </c>
      <c r="C76" s="263" t="s">
        <v>571</v>
      </c>
      <c r="D76" s="247">
        <v>16</v>
      </c>
      <c r="E76" s="247">
        <v>445</v>
      </c>
      <c r="F76" s="247">
        <v>2020</v>
      </c>
      <c r="G76" s="256">
        <f t="shared" si="2"/>
        <v>4450</v>
      </c>
    </row>
    <row r="77" spans="1:14" s="260" customFormat="1" ht="24.95" customHeight="1">
      <c r="A77" s="252">
        <v>13</v>
      </c>
      <c r="B77" s="248" t="s">
        <v>480</v>
      </c>
      <c r="C77" s="248" t="s">
        <v>384</v>
      </c>
      <c r="D77" s="252">
        <v>12</v>
      </c>
      <c r="E77" s="252">
        <v>236</v>
      </c>
      <c r="F77" s="252">
        <v>2020</v>
      </c>
      <c r="G77" s="256">
        <f t="shared" si="2"/>
        <v>2360</v>
      </c>
    </row>
    <row r="78" spans="1:14" s="260" customFormat="1" ht="24.95" customHeight="1">
      <c r="A78" s="252">
        <v>14</v>
      </c>
      <c r="B78" s="248" t="s">
        <v>481</v>
      </c>
      <c r="C78" s="248" t="s">
        <v>482</v>
      </c>
      <c r="D78" s="252">
        <v>6</v>
      </c>
      <c r="E78" s="252">
        <v>100</v>
      </c>
      <c r="F78" s="252">
        <v>2021</v>
      </c>
      <c r="G78" s="256">
        <f t="shared" si="2"/>
        <v>1000</v>
      </c>
      <c r="L78" s="260" t="s">
        <v>483</v>
      </c>
    </row>
    <row r="79" spans="1:14" s="260" customFormat="1" ht="24.95" customHeight="1">
      <c r="A79" s="252">
        <v>15</v>
      </c>
      <c r="B79" s="251" t="s">
        <v>484</v>
      </c>
      <c r="C79" s="251" t="s">
        <v>456</v>
      </c>
      <c r="D79" s="253">
        <v>10</v>
      </c>
      <c r="E79" s="253">
        <v>174</v>
      </c>
      <c r="F79" s="253">
        <v>2023</v>
      </c>
      <c r="G79" s="256">
        <f t="shared" si="2"/>
        <v>1740</v>
      </c>
    </row>
    <row r="80" spans="1:14" s="260" customFormat="1" ht="24.95" customHeight="1">
      <c r="A80" s="252">
        <v>16</v>
      </c>
      <c r="B80" s="257" t="s">
        <v>485</v>
      </c>
      <c r="C80" s="257" t="s">
        <v>572</v>
      </c>
      <c r="D80" s="258">
        <v>15</v>
      </c>
      <c r="E80" s="258">
        <v>450</v>
      </c>
      <c r="F80" s="258">
        <v>2026</v>
      </c>
      <c r="G80" s="256">
        <f t="shared" si="2"/>
        <v>4500</v>
      </c>
    </row>
    <row r="81" spans="1:8" s="260" customFormat="1" ht="24.95" customHeight="1">
      <c r="A81" s="252">
        <v>17</v>
      </c>
      <c r="B81" s="257" t="s">
        <v>486</v>
      </c>
      <c r="C81" s="257" t="s">
        <v>359</v>
      </c>
      <c r="D81" s="258">
        <v>10</v>
      </c>
      <c r="E81" s="258">
        <v>250</v>
      </c>
      <c r="F81" s="258">
        <v>2026</v>
      </c>
      <c r="G81" s="256">
        <f t="shared" si="2"/>
        <v>2500</v>
      </c>
    </row>
    <row r="82" spans="1:8" s="260" customFormat="1" ht="24.95" customHeight="1">
      <c r="A82" s="252">
        <v>18</v>
      </c>
      <c r="B82" s="257" t="s">
        <v>487</v>
      </c>
      <c r="C82" s="257" t="s">
        <v>420</v>
      </c>
      <c r="D82" s="258">
        <v>10</v>
      </c>
      <c r="E82" s="258">
        <v>200</v>
      </c>
      <c r="F82" s="258">
        <v>2026</v>
      </c>
      <c r="G82" s="256">
        <f t="shared" si="2"/>
        <v>2000</v>
      </c>
    </row>
    <row r="83" spans="1:8" s="260" customFormat="1" ht="24.95" customHeight="1">
      <c r="A83" s="252">
        <v>19</v>
      </c>
      <c r="B83" s="257" t="s">
        <v>488</v>
      </c>
      <c r="C83" s="257" t="s">
        <v>374</v>
      </c>
      <c r="D83" s="258">
        <v>10</v>
      </c>
      <c r="E83" s="258">
        <v>200</v>
      </c>
      <c r="F83" s="258">
        <v>2026</v>
      </c>
      <c r="G83" s="256">
        <f t="shared" si="2"/>
        <v>2000</v>
      </c>
    </row>
    <row r="84" spans="1:8" s="260" customFormat="1" ht="24.95" customHeight="1">
      <c r="A84" s="252">
        <v>20</v>
      </c>
      <c r="B84" s="257" t="s">
        <v>489</v>
      </c>
      <c r="C84" s="257" t="s">
        <v>490</v>
      </c>
      <c r="D84" s="258">
        <v>10</v>
      </c>
      <c r="E84" s="258">
        <v>200</v>
      </c>
      <c r="F84" s="258">
        <v>2026</v>
      </c>
      <c r="G84" s="256">
        <f t="shared" si="2"/>
        <v>2000</v>
      </c>
    </row>
    <row r="85" spans="1:8" s="260" customFormat="1" ht="24.95" customHeight="1">
      <c r="A85" s="252">
        <v>21</v>
      </c>
      <c r="B85" s="257" t="s">
        <v>491</v>
      </c>
      <c r="C85" s="257" t="s">
        <v>492</v>
      </c>
      <c r="D85" s="258">
        <v>10</v>
      </c>
      <c r="E85" s="258">
        <v>200</v>
      </c>
      <c r="F85" s="258">
        <v>2027</v>
      </c>
      <c r="G85" s="256">
        <f t="shared" si="2"/>
        <v>2000</v>
      </c>
    </row>
    <row r="86" spans="1:8" s="260" customFormat="1" ht="24.95" customHeight="1">
      <c r="A86" s="252">
        <v>22</v>
      </c>
      <c r="B86" s="257" t="s">
        <v>493</v>
      </c>
      <c r="C86" s="257" t="s">
        <v>387</v>
      </c>
      <c r="D86" s="258">
        <v>10</v>
      </c>
      <c r="E86" s="258">
        <v>200</v>
      </c>
      <c r="F86" s="258">
        <v>2027</v>
      </c>
      <c r="G86" s="256">
        <f t="shared" si="2"/>
        <v>2000</v>
      </c>
    </row>
    <row r="87" spans="1:8" s="260" customFormat="1" ht="24.95" customHeight="1">
      <c r="A87" s="252">
        <v>23</v>
      </c>
      <c r="B87" s="248" t="s">
        <v>494</v>
      </c>
      <c r="C87" s="248" t="s">
        <v>495</v>
      </c>
      <c r="D87" s="252">
        <v>10</v>
      </c>
      <c r="E87" s="252">
        <v>324</v>
      </c>
      <c r="F87" s="252">
        <v>2028</v>
      </c>
      <c r="G87" s="256">
        <f t="shared" si="2"/>
        <v>3240</v>
      </c>
    </row>
    <row r="88" spans="1:8" s="260" customFormat="1" ht="24.95" customHeight="1">
      <c r="A88" s="252">
        <v>24</v>
      </c>
      <c r="B88" s="251" t="s">
        <v>496</v>
      </c>
      <c r="C88" s="251" t="s">
        <v>370</v>
      </c>
      <c r="D88" s="253">
        <v>10</v>
      </c>
      <c r="E88" s="253">
        <v>175</v>
      </c>
      <c r="F88" s="253">
        <v>2028</v>
      </c>
      <c r="G88" s="256">
        <f t="shared" si="2"/>
        <v>1750</v>
      </c>
    </row>
    <row r="89" spans="1:8" s="260" customFormat="1" ht="24.95" customHeight="1">
      <c r="A89" s="252">
        <v>25</v>
      </c>
      <c r="B89" s="251" t="s">
        <v>497</v>
      </c>
      <c r="C89" s="251" t="s">
        <v>366</v>
      </c>
      <c r="D89" s="253">
        <v>10</v>
      </c>
      <c r="E89" s="253">
        <v>200</v>
      </c>
      <c r="F89" s="253">
        <v>2028</v>
      </c>
      <c r="G89" s="256">
        <f t="shared" si="2"/>
        <v>2000</v>
      </c>
    </row>
    <row r="90" spans="1:8" s="260" customFormat="1" ht="24.95" customHeight="1">
      <c r="A90" s="252">
        <v>26</v>
      </c>
      <c r="B90" s="248" t="s">
        <v>498</v>
      </c>
      <c r="C90" s="264" t="s">
        <v>446</v>
      </c>
      <c r="D90" s="252">
        <v>14</v>
      </c>
      <c r="E90" s="252">
        <v>298</v>
      </c>
      <c r="F90" s="252">
        <v>2028</v>
      </c>
      <c r="G90" s="256">
        <f t="shared" si="2"/>
        <v>2980</v>
      </c>
    </row>
    <row r="91" spans="1:8" s="260" customFormat="1" ht="24.95" customHeight="1">
      <c r="A91" s="252">
        <v>27</v>
      </c>
      <c r="B91" s="248" t="s">
        <v>499</v>
      </c>
      <c r="C91" s="264" t="s">
        <v>448</v>
      </c>
      <c r="D91" s="252">
        <v>13</v>
      </c>
      <c r="E91" s="252">
        <v>290</v>
      </c>
      <c r="F91" s="252">
        <v>2030</v>
      </c>
      <c r="G91" s="256">
        <f t="shared" si="2"/>
        <v>2900</v>
      </c>
    </row>
    <row r="92" spans="1:8" s="246" customFormat="1" ht="24.95" customHeight="1">
      <c r="A92" s="244" t="s">
        <v>500</v>
      </c>
      <c r="B92" s="245" t="s">
        <v>501</v>
      </c>
      <c r="C92" s="244"/>
      <c r="D92" s="244"/>
      <c r="E92" s="244"/>
      <c r="F92" s="244"/>
      <c r="G92" s="256"/>
    </row>
    <row r="93" spans="1:8" s="259" customFormat="1" ht="24.95" customHeight="1">
      <c r="A93" s="252">
        <v>1</v>
      </c>
      <c r="B93" s="248" t="s">
        <v>502</v>
      </c>
      <c r="C93" s="265" t="s">
        <v>456</v>
      </c>
      <c r="D93" s="258">
        <v>12</v>
      </c>
      <c r="E93" s="258">
        <v>300</v>
      </c>
      <c r="F93" s="252">
        <v>2016</v>
      </c>
      <c r="G93" s="256">
        <f t="shared" si="2"/>
        <v>3000</v>
      </c>
      <c r="H93" s="259">
        <v>1</v>
      </c>
    </row>
    <row r="94" spans="1:8" s="266" customFormat="1" ht="24.95" customHeight="1">
      <c r="A94" s="252">
        <v>2</v>
      </c>
      <c r="B94" s="248" t="s">
        <v>503</v>
      </c>
      <c r="C94" s="264" t="s">
        <v>473</v>
      </c>
      <c r="D94" s="252">
        <v>16</v>
      </c>
      <c r="E94" s="252">
        <v>400</v>
      </c>
      <c r="F94" s="252">
        <v>2016</v>
      </c>
      <c r="G94" s="256">
        <f t="shared" si="2"/>
        <v>4000</v>
      </c>
      <c r="H94" s="262">
        <v>2</v>
      </c>
    </row>
    <row r="95" spans="1:8" s="266" customFormat="1" ht="24.95" customHeight="1">
      <c r="A95" s="252">
        <v>3</v>
      </c>
      <c r="B95" s="248" t="s">
        <v>504</v>
      </c>
      <c r="C95" s="264" t="s">
        <v>379</v>
      </c>
      <c r="D95" s="252">
        <v>12</v>
      </c>
      <c r="E95" s="252">
        <v>300</v>
      </c>
      <c r="F95" s="252">
        <v>2016</v>
      </c>
      <c r="G95" s="256">
        <f t="shared" si="2"/>
        <v>3000</v>
      </c>
      <c r="H95" s="259">
        <v>3</v>
      </c>
    </row>
    <row r="96" spans="1:8" s="266" customFormat="1" ht="24.95" customHeight="1">
      <c r="A96" s="252">
        <v>4</v>
      </c>
      <c r="B96" s="248" t="s">
        <v>505</v>
      </c>
      <c r="C96" s="264" t="s">
        <v>506</v>
      </c>
      <c r="D96" s="252">
        <v>12</v>
      </c>
      <c r="E96" s="252">
        <v>394</v>
      </c>
      <c r="F96" s="252">
        <v>2016</v>
      </c>
      <c r="G96" s="256">
        <f t="shared" si="2"/>
        <v>3940</v>
      </c>
      <c r="H96" s="262">
        <v>4</v>
      </c>
    </row>
    <row r="97" spans="1:8" s="266" customFormat="1" ht="24.95" customHeight="1">
      <c r="A97" s="252">
        <v>5</v>
      </c>
      <c r="B97" s="248" t="s">
        <v>507</v>
      </c>
      <c r="C97" s="264" t="s">
        <v>372</v>
      </c>
      <c r="D97" s="252">
        <v>10</v>
      </c>
      <c r="E97" s="252">
        <v>345</v>
      </c>
      <c r="F97" s="252">
        <v>2016</v>
      </c>
      <c r="G97" s="256">
        <f t="shared" ref="G97:G130" si="4">E97*10</f>
        <v>3450</v>
      </c>
      <c r="H97" s="259">
        <v>5</v>
      </c>
    </row>
    <row r="98" spans="1:8" s="266" customFormat="1" ht="24.95" customHeight="1">
      <c r="A98" s="252">
        <v>6</v>
      </c>
      <c r="B98" s="248" t="s">
        <v>508</v>
      </c>
      <c r="C98" s="248" t="s">
        <v>509</v>
      </c>
      <c r="D98" s="252">
        <v>11</v>
      </c>
      <c r="E98" s="252">
        <v>401</v>
      </c>
      <c r="F98" s="252">
        <v>2016</v>
      </c>
      <c r="G98" s="256">
        <f t="shared" si="4"/>
        <v>4010</v>
      </c>
      <c r="H98" s="262">
        <v>6</v>
      </c>
    </row>
    <row r="99" spans="1:8" s="266" customFormat="1" ht="24.95" customHeight="1">
      <c r="A99" s="252">
        <v>7</v>
      </c>
      <c r="B99" s="248" t="s">
        <v>510</v>
      </c>
      <c r="C99" s="248" t="s">
        <v>344</v>
      </c>
      <c r="D99" s="252">
        <v>9</v>
      </c>
      <c r="E99" s="252">
        <v>271</v>
      </c>
      <c r="F99" s="252">
        <v>2016</v>
      </c>
      <c r="G99" s="256">
        <f t="shared" si="4"/>
        <v>2710</v>
      </c>
      <c r="H99" s="259">
        <v>7</v>
      </c>
    </row>
    <row r="100" spans="1:8" s="266" customFormat="1" ht="24.95" customHeight="1">
      <c r="A100" s="252">
        <v>8</v>
      </c>
      <c r="B100" s="248" t="s">
        <v>511</v>
      </c>
      <c r="C100" s="248" t="s">
        <v>512</v>
      </c>
      <c r="D100" s="252">
        <v>12</v>
      </c>
      <c r="E100" s="252">
        <v>350</v>
      </c>
      <c r="F100" s="252">
        <v>2016</v>
      </c>
      <c r="G100" s="256">
        <f t="shared" si="4"/>
        <v>3500</v>
      </c>
      <c r="H100" s="262">
        <v>8</v>
      </c>
    </row>
    <row r="101" spans="1:8" s="266" customFormat="1" ht="24.95" customHeight="1">
      <c r="A101" s="252">
        <v>9</v>
      </c>
      <c r="B101" s="248" t="s">
        <v>513</v>
      </c>
      <c r="C101" s="248" t="s">
        <v>342</v>
      </c>
      <c r="D101" s="252">
        <v>13</v>
      </c>
      <c r="E101" s="252">
        <v>395</v>
      </c>
      <c r="F101" s="252">
        <v>2016</v>
      </c>
      <c r="G101" s="256">
        <f t="shared" si="4"/>
        <v>3950</v>
      </c>
      <c r="H101" s="259">
        <v>9</v>
      </c>
    </row>
    <row r="102" spans="1:8" s="266" customFormat="1" ht="24.95" customHeight="1">
      <c r="A102" s="252">
        <v>10</v>
      </c>
      <c r="B102" s="248" t="s">
        <v>514</v>
      </c>
      <c r="C102" s="248" t="s">
        <v>330</v>
      </c>
      <c r="D102" s="252">
        <v>10</v>
      </c>
      <c r="E102" s="252">
        <v>360</v>
      </c>
      <c r="F102" s="252">
        <v>2017</v>
      </c>
      <c r="G102" s="256">
        <f t="shared" si="4"/>
        <v>3600</v>
      </c>
      <c r="H102" s="262">
        <v>10</v>
      </c>
    </row>
    <row r="103" spans="1:8" s="266" customFormat="1" ht="24.95" customHeight="1">
      <c r="A103" s="252">
        <v>11</v>
      </c>
      <c r="B103" s="248" t="s">
        <v>515</v>
      </c>
      <c r="C103" s="264" t="s">
        <v>516</v>
      </c>
      <c r="D103" s="252">
        <v>8</v>
      </c>
      <c r="E103" s="252">
        <v>271</v>
      </c>
      <c r="F103" s="252">
        <v>2017</v>
      </c>
      <c r="G103" s="256">
        <f t="shared" si="4"/>
        <v>2710</v>
      </c>
      <c r="H103" s="259">
        <v>11</v>
      </c>
    </row>
    <row r="104" spans="1:8" s="266" customFormat="1" ht="24.95" customHeight="1">
      <c r="A104" s="252">
        <v>12</v>
      </c>
      <c r="B104" s="248" t="s">
        <v>517</v>
      </c>
      <c r="C104" s="248" t="s">
        <v>518</v>
      </c>
      <c r="D104" s="252">
        <v>6</v>
      </c>
      <c r="E104" s="252">
        <v>150</v>
      </c>
      <c r="F104" s="252">
        <v>2017</v>
      </c>
      <c r="G104" s="256">
        <f t="shared" si="4"/>
        <v>1500</v>
      </c>
      <c r="H104" s="262">
        <v>12</v>
      </c>
    </row>
    <row r="105" spans="1:8" s="266" customFormat="1" ht="24.95" customHeight="1">
      <c r="A105" s="252">
        <v>13</v>
      </c>
      <c r="B105" s="251" t="s">
        <v>519</v>
      </c>
      <c r="C105" s="267" t="s">
        <v>520</v>
      </c>
      <c r="D105" s="253">
        <v>15</v>
      </c>
      <c r="E105" s="253">
        <v>570</v>
      </c>
      <c r="F105" s="253">
        <v>2017</v>
      </c>
      <c r="G105" s="256">
        <f t="shared" si="4"/>
        <v>5700</v>
      </c>
      <c r="H105" s="259">
        <v>13</v>
      </c>
    </row>
    <row r="106" spans="1:8" s="266" customFormat="1" ht="24.95" customHeight="1">
      <c r="A106" s="252">
        <v>14</v>
      </c>
      <c r="B106" s="251" t="s">
        <v>521</v>
      </c>
      <c r="C106" s="267" t="s">
        <v>522</v>
      </c>
      <c r="D106" s="253">
        <v>13</v>
      </c>
      <c r="E106" s="253">
        <v>395</v>
      </c>
      <c r="F106" s="253">
        <v>2017</v>
      </c>
      <c r="G106" s="256">
        <f t="shared" si="4"/>
        <v>3950</v>
      </c>
      <c r="H106" s="262">
        <v>14</v>
      </c>
    </row>
    <row r="107" spans="1:8" s="266" customFormat="1" ht="24.95" customHeight="1">
      <c r="A107" s="252">
        <v>15</v>
      </c>
      <c r="B107" s="248" t="s">
        <v>523</v>
      </c>
      <c r="C107" s="248" t="s">
        <v>524</v>
      </c>
      <c r="D107" s="252">
        <v>11</v>
      </c>
      <c r="E107" s="252">
        <v>342</v>
      </c>
      <c r="F107" s="252">
        <v>2018</v>
      </c>
      <c r="G107" s="256">
        <f t="shared" si="4"/>
        <v>3420</v>
      </c>
      <c r="H107" s="259">
        <v>15</v>
      </c>
    </row>
    <row r="108" spans="1:8" s="266" customFormat="1" ht="24.95" customHeight="1">
      <c r="A108" s="252">
        <v>16</v>
      </c>
      <c r="B108" s="251" t="s">
        <v>525</v>
      </c>
      <c r="C108" s="267" t="s">
        <v>526</v>
      </c>
      <c r="D108" s="253">
        <v>8</v>
      </c>
      <c r="E108" s="253">
        <v>217</v>
      </c>
      <c r="F108" s="253">
        <v>2018</v>
      </c>
      <c r="G108" s="256">
        <f t="shared" si="4"/>
        <v>2170</v>
      </c>
      <c r="H108" s="262">
        <v>16</v>
      </c>
    </row>
    <row r="109" spans="1:8" s="266" customFormat="1" ht="24.95" customHeight="1">
      <c r="A109" s="252">
        <v>17</v>
      </c>
      <c r="B109" s="251" t="s">
        <v>527</v>
      </c>
      <c r="C109" s="267" t="s">
        <v>528</v>
      </c>
      <c r="D109" s="253">
        <v>6</v>
      </c>
      <c r="E109" s="253">
        <v>167</v>
      </c>
      <c r="F109" s="253">
        <v>2019</v>
      </c>
      <c r="G109" s="256">
        <f t="shared" si="4"/>
        <v>1670</v>
      </c>
      <c r="H109" s="259">
        <v>17</v>
      </c>
    </row>
    <row r="110" spans="1:8" s="266" customFormat="1" ht="24.95" customHeight="1">
      <c r="A110" s="252">
        <v>18</v>
      </c>
      <c r="B110" s="248" t="s">
        <v>529</v>
      </c>
      <c r="C110" s="264" t="s">
        <v>742</v>
      </c>
      <c r="D110" s="252">
        <v>10</v>
      </c>
      <c r="E110" s="252">
        <v>299</v>
      </c>
      <c r="F110" s="247">
        <v>2019</v>
      </c>
      <c r="G110" s="256">
        <f t="shared" si="4"/>
        <v>2990</v>
      </c>
      <c r="H110" s="262">
        <v>18</v>
      </c>
    </row>
    <row r="111" spans="1:8" s="266" customFormat="1" ht="24.95" customHeight="1">
      <c r="A111" s="252">
        <v>19</v>
      </c>
      <c r="B111" s="248" t="s">
        <v>530</v>
      </c>
      <c r="C111" s="248" t="s">
        <v>743</v>
      </c>
      <c r="D111" s="252">
        <v>8</v>
      </c>
      <c r="E111" s="252">
        <v>207</v>
      </c>
      <c r="F111" s="252">
        <v>2020</v>
      </c>
      <c r="G111" s="256">
        <f t="shared" si="4"/>
        <v>2070</v>
      </c>
      <c r="H111" s="259">
        <v>19</v>
      </c>
    </row>
    <row r="112" spans="1:8" s="266" customFormat="1" ht="24.95" customHeight="1">
      <c r="A112" s="252">
        <v>20</v>
      </c>
      <c r="B112" s="248" t="s">
        <v>531</v>
      </c>
      <c r="C112" s="248" t="s">
        <v>573</v>
      </c>
      <c r="D112" s="252">
        <v>4</v>
      </c>
      <c r="E112" s="252">
        <v>120</v>
      </c>
      <c r="F112" s="252">
        <v>2020</v>
      </c>
      <c r="G112" s="256">
        <f t="shared" si="4"/>
        <v>1200</v>
      </c>
      <c r="H112" s="262">
        <v>20</v>
      </c>
    </row>
    <row r="113" spans="1:15" s="266" customFormat="1" ht="24.95" customHeight="1">
      <c r="A113" s="252">
        <v>21</v>
      </c>
      <c r="B113" s="248" t="s">
        <v>532</v>
      </c>
      <c r="C113" s="264" t="s">
        <v>533</v>
      </c>
      <c r="D113" s="252">
        <v>8</v>
      </c>
      <c r="E113" s="252">
        <v>258</v>
      </c>
      <c r="F113" s="252">
        <v>2020</v>
      </c>
      <c r="G113" s="256">
        <f t="shared" si="4"/>
        <v>2580</v>
      </c>
      <c r="H113" s="259">
        <v>21</v>
      </c>
    </row>
    <row r="114" spans="1:15" s="266" customFormat="1" ht="24.95" customHeight="1">
      <c r="A114" s="252">
        <v>22</v>
      </c>
      <c r="B114" s="248" t="s">
        <v>534</v>
      </c>
      <c r="C114" s="264" t="s">
        <v>535</v>
      </c>
      <c r="D114" s="252">
        <v>10</v>
      </c>
      <c r="E114" s="252">
        <v>330</v>
      </c>
      <c r="F114" s="252">
        <v>2020</v>
      </c>
      <c r="G114" s="256">
        <f t="shared" si="4"/>
        <v>3300</v>
      </c>
      <c r="H114" s="262">
        <v>22</v>
      </c>
    </row>
    <row r="115" spans="1:15" s="266" customFormat="1" ht="24.95" customHeight="1">
      <c r="A115" s="252">
        <v>23</v>
      </c>
      <c r="B115" s="248" t="s">
        <v>536</v>
      </c>
      <c r="C115" s="264" t="s">
        <v>335</v>
      </c>
      <c r="D115" s="252">
        <v>7</v>
      </c>
      <c r="E115" s="252">
        <v>242</v>
      </c>
      <c r="F115" s="252">
        <v>2020</v>
      </c>
      <c r="G115" s="256">
        <f t="shared" si="4"/>
        <v>2420</v>
      </c>
      <c r="H115" s="259">
        <v>23</v>
      </c>
    </row>
    <row r="116" spans="1:15" s="266" customFormat="1" ht="24.95" customHeight="1">
      <c r="A116" s="252">
        <v>24</v>
      </c>
      <c r="B116" s="248" t="s">
        <v>537</v>
      </c>
      <c r="C116" s="264" t="s">
        <v>538</v>
      </c>
      <c r="D116" s="252">
        <v>6</v>
      </c>
      <c r="E116" s="252">
        <v>242</v>
      </c>
      <c r="F116" s="252">
        <v>2020</v>
      </c>
      <c r="G116" s="256">
        <f t="shared" si="4"/>
        <v>2420</v>
      </c>
      <c r="H116" s="262">
        <v>24</v>
      </c>
    </row>
    <row r="117" spans="1:15" s="266" customFormat="1" ht="24.95" customHeight="1">
      <c r="A117" s="252">
        <v>25</v>
      </c>
      <c r="B117" s="248" t="s">
        <v>539</v>
      </c>
      <c r="C117" s="248" t="s">
        <v>389</v>
      </c>
      <c r="D117" s="252">
        <v>9</v>
      </c>
      <c r="E117" s="252">
        <v>305</v>
      </c>
      <c r="F117" s="252">
        <v>2020</v>
      </c>
      <c r="G117" s="256">
        <f t="shared" si="4"/>
        <v>3050</v>
      </c>
      <c r="H117" s="259">
        <v>25</v>
      </c>
    </row>
    <row r="118" spans="1:15" s="266" customFormat="1" ht="24.95" customHeight="1">
      <c r="A118" s="252">
        <v>26</v>
      </c>
      <c r="B118" s="248" t="s">
        <v>540</v>
      </c>
      <c r="C118" s="248" t="s">
        <v>420</v>
      </c>
      <c r="D118" s="252">
        <v>11</v>
      </c>
      <c r="E118" s="252">
        <v>360</v>
      </c>
      <c r="F118" s="252">
        <v>2020</v>
      </c>
      <c r="G118" s="256">
        <f t="shared" si="4"/>
        <v>3600</v>
      </c>
      <c r="H118" s="262">
        <v>26</v>
      </c>
    </row>
    <row r="119" spans="1:15" s="266" customFormat="1" ht="24.95" customHeight="1">
      <c r="A119" s="252">
        <v>27</v>
      </c>
      <c r="B119" s="248" t="s">
        <v>541</v>
      </c>
      <c r="C119" s="248" t="s">
        <v>469</v>
      </c>
      <c r="D119" s="252">
        <v>14</v>
      </c>
      <c r="E119" s="252">
        <v>450</v>
      </c>
      <c r="F119" s="252">
        <v>2020</v>
      </c>
      <c r="G119" s="256">
        <f t="shared" si="4"/>
        <v>4500</v>
      </c>
      <c r="H119" s="259">
        <v>27</v>
      </c>
    </row>
    <row r="120" spans="1:15" s="266" customFormat="1" ht="24.95" customHeight="1">
      <c r="A120" s="252">
        <v>28</v>
      </c>
      <c r="B120" s="248" t="s">
        <v>542</v>
      </c>
      <c r="C120" s="248" t="s">
        <v>543</v>
      </c>
      <c r="D120" s="252">
        <v>10</v>
      </c>
      <c r="E120" s="252">
        <v>335</v>
      </c>
      <c r="F120" s="252">
        <v>2021</v>
      </c>
      <c r="G120" s="256">
        <f t="shared" si="4"/>
        <v>3350</v>
      </c>
      <c r="H120" s="262">
        <v>28</v>
      </c>
    </row>
    <row r="121" spans="1:15" s="261" customFormat="1" ht="24.95" customHeight="1">
      <c r="A121" s="252">
        <v>29</v>
      </c>
      <c r="B121" s="248" t="s">
        <v>544</v>
      </c>
      <c r="C121" s="264" t="s">
        <v>495</v>
      </c>
      <c r="D121" s="252">
        <v>8</v>
      </c>
      <c r="E121" s="252">
        <v>256</v>
      </c>
      <c r="F121" s="252">
        <v>2026</v>
      </c>
      <c r="G121" s="256">
        <f t="shared" si="4"/>
        <v>2560</v>
      </c>
      <c r="H121" s="259">
        <v>29</v>
      </c>
    </row>
    <row r="122" spans="1:15" s="246" customFormat="1" ht="24.95" customHeight="1">
      <c r="A122" s="244" t="s">
        <v>545</v>
      </c>
      <c r="B122" s="245" t="s">
        <v>546</v>
      </c>
      <c r="C122" s="244"/>
      <c r="D122" s="244"/>
      <c r="E122" s="244"/>
      <c r="F122" s="244"/>
      <c r="G122" s="256"/>
    </row>
    <row r="123" spans="1:15" s="259" customFormat="1" ht="24.95" customHeight="1">
      <c r="A123" s="252">
        <v>1</v>
      </c>
      <c r="B123" s="248" t="s">
        <v>547</v>
      </c>
      <c r="C123" s="264" t="s">
        <v>374</v>
      </c>
      <c r="D123" s="252">
        <v>11</v>
      </c>
      <c r="E123" s="252">
        <v>400</v>
      </c>
      <c r="F123" s="252">
        <v>2017</v>
      </c>
      <c r="G123" s="256">
        <f t="shared" si="4"/>
        <v>4000</v>
      </c>
      <c r="H123" s="259">
        <v>1</v>
      </c>
    </row>
    <row r="124" spans="1:15" s="266" customFormat="1" ht="24.95" customHeight="1">
      <c r="A124" s="252">
        <v>2</v>
      </c>
      <c r="B124" s="248" t="s">
        <v>548</v>
      </c>
      <c r="C124" s="264" t="s">
        <v>549</v>
      </c>
      <c r="D124" s="252">
        <v>8</v>
      </c>
      <c r="E124" s="252">
        <v>226</v>
      </c>
      <c r="F124" s="252">
        <v>2018</v>
      </c>
      <c r="G124" s="256">
        <f t="shared" si="4"/>
        <v>2260</v>
      </c>
      <c r="H124" s="262">
        <v>2</v>
      </c>
    </row>
    <row r="125" spans="1:15" ht="25.5" customHeight="1">
      <c r="A125" s="252">
        <v>3</v>
      </c>
      <c r="B125" s="248" t="s">
        <v>723</v>
      </c>
      <c r="C125" s="248" t="s">
        <v>724</v>
      </c>
      <c r="D125" s="252">
        <f>E125/35</f>
        <v>18</v>
      </c>
      <c r="E125" s="252">
        <v>630</v>
      </c>
      <c r="F125" s="252">
        <v>2018</v>
      </c>
      <c r="G125" s="256">
        <v>3000</v>
      </c>
      <c r="O125" s="268" t="s">
        <v>719</v>
      </c>
    </row>
    <row r="126" spans="1:15" s="266" customFormat="1" ht="24.95" customHeight="1">
      <c r="A126" s="252">
        <v>4</v>
      </c>
      <c r="B126" s="248" t="s">
        <v>550</v>
      </c>
      <c r="C126" s="264" t="s">
        <v>381</v>
      </c>
      <c r="D126" s="252">
        <v>8</v>
      </c>
      <c r="E126" s="252">
        <f>D126*35</f>
        <v>280</v>
      </c>
      <c r="F126" s="252">
        <v>2019</v>
      </c>
      <c r="G126" s="256">
        <f t="shared" si="4"/>
        <v>2800</v>
      </c>
      <c r="H126" s="259">
        <v>3</v>
      </c>
    </row>
    <row r="127" spans="1:15" s="259" customFormat="1" ht="24.95" customHeight="1">
      <c r="A127" s="252">
        <v>5</v>
      </c>
      <c r="B127" s="248" t="s">
        <v>551</v>
      </c>
      <c r="C127" s="264" t="s">
        <v>574</v>
      </c>
      <c r="D127" s="252">
        <v>10</v>
      </c>
      <c r="E127" s="252">
        <v>450</v>
      </c>
      <c r="F127" s="252">
        <v>2021</v>
      </c>
      <c r="G127" s="256">
        <f t="shared" si="4"/>
        <v>4500</v>
      </c>
    </row>
    <row r="128" spans="1:15" s="259" customFormat="1" ht="24.95" customHeight="1">
      <c r="A128" s="252">
        <v>6</v>
      </c>
      <c r="B128" s="248" t="s">
        <v>552</v>
      </c>
      <c r="C128" s="264" t="s">
        <v>553</v>
      </c>
      <c r="D128" s="252">
        <v>9</v>
      </c>
      <c r="E128" s="252">
        <v>320</v>
      </c>
      <c r="F128" s="252">
        <v>2022</v>
      </c>
      <c r="G128" s="256">
        <f t="shared" si="4"/>
        <v>3200</v>
      </c>
    </row>
    <row r="129" spans="1:16" ht="25.5" customHeight="1">
      <c r="A129" s="252">
        <v>7</v>
      </c>
      <c r="B129" s="248" t="s">
        <v>720</v>
      </c>
      <c r="C129" s="248" t="s">
        <v>725</v>
      </c>
      <c r="D129" s="252">
        <f>E129/35</f>
        <v>12</v>
      </c>
      <c r="E129" s="252">
        <v>420</v>
      </c>
      <c r="F129" s="252">
        <v>2022</v>
      </c>
      <c r="G129" s="283">
        <v>2000</v>
      </c>
      <c r="O129" s="268" t="s">
        <v>722</v>
      </c>
    </row>
    <row r="130" spans="1:16" s="259" customFormat="1" ht="24.95" customHeight="1">
      <c r="A130" s="252">
        <v>8</v>
      </c>
      <c r="B130" s="248" t="s">
        <v>554</v>
      </c>
      <c r="C130" s="248" t="s">
        <v>355</v>
      </c>
      <c r="D130" s="252">
        <v>13</v>
      </c>
      <c r="E130" s="252">
        <v>500</v>
      </c>
      <c r="F130" s="252">
        <v>2023</v>
      </c>
      <c r="G130" s="256">
        <f t="shared" si="4"/>
        <v>5000</v>
      </c>
    </row>
    <row r="131" spans="1:16" s="246" customFormat="1" ht="24.95" customHeight="1">
      <c r="A131" s="252">
        <v>9</v>
      </c>
      <c r="B131" s="248" t="s">
        <v>555</v>
      </c>
      <c r="C131" s="264" t="s">
        <v>490</v>
      </c>
      <c r="D131" s="252">
        <v>10</v>
      </c>
      <c r="E131" s="252">
        <v>380</v>
      </c>
      <c r="F131" s="252">
        <v>2023</v>
      </c>
      <c r="G131" s="256">
        <f t="shared" ref="G131:G143" si="5">E131*10</f>
        <v>3800</v>
      </c>
    </row>
    <row r="132" spans="1:16" s="246" customFormat="1" ht="24.95" customHeight="1">
      <c r="A132" s="252">
        <v>10</v>
      </c>
      <c r="B132" s="248" t="s">
        <v>556</v>
      </c>
      <c r="C132" s="264" t="s">
        <v>420</v>
      </c>
      <c r="D132" s="252">
        <v>9</v>
      </c>
      <c r="E132" s="252">
        <v>300</v>
      </c>
      <c r="F132" s="252">
        <v>2023</v>
      </c>
      <c r="G132" s="256">
        <f t="shared" si="5"/>
        <v>3000</v>
      </c>
    </row>
    <row r="133" spans="1:16" ht="25.5" customHeight="1">
      <c r="A133" s="252">
        <v>11</v>
      </c>
      <c r="B133" s="248" t="s">
        <v>727</v>
      </c>
      <c r="C133" s="248" t="s">
        <v>728</v>
      </c>
      <c r="D133" s="252">
        <f>E133/35</f>
        <v>12</v>
      </c>
      <c r="E133" s="252">
        <v>420</v>
      </c>
      <c r="F133" s="252">
        <v>2023</v>
      </c>
      <c r="G133" s="283">
        <v>2000</v>
      </c>
      <c r="O133" s="268" t="s">
        <v>722</v>
      </c>
    </row>
    <row r="134" spans="1:16" s="246" customFormat="1" ht="24.95" customHeight="1">
      <c r="A134" s="252">
        <v>12</v>
      </c>
      <c r="B134" s="248" t="s">
        <v>557</v>
      </c>
      <c r="C134" s="264" t="s">
        <v>558</v>
      </c>
      <c r="D134" s="252">
        <v>14</v>
      </c>
      <c r="E134" s="252">
        <f>D134*35</f>
        <v>490</v>
      </c>
      <c r="F134" s="252">
        <v>2024</v>
      </c>
      <c r="G134" s="256">
        <f t="shared" si="5"/>
        <v>4900</v>
      </c>
    </row>
    <row r="135" spans="1:16" s="246" customFormat="1" ht="24.95" customHeight="1">
      <c r="A135" s="252">
        <v>13</v>
      </c>
      <c r="B135" s="248" t="s">
        <v>559</v>
      </c>
      <c r="C135" s="264" t="s">
        <v>560</v>
      </c>
      <c r="D135" s="252">
        <v>10</v>
      </c>
      <c r="E135" s="252">
        <v>350</v>
      </c>
      <c r="F135" s="252">
        <v>2025</v>
      </c>
      <c r="G135" s="256">
        <f t="shared" si="5"/>
        <v>3500</v>
      </c>
    </row>
    <row r="136" spans="1:16" s="246" customFormat="1" ht="24.95" customHeight="1">
      <c r="A136" s="252">
        <v>14</v>
      </c>
      <c r="B136" s="248" t="s">
        <v>561</v>
      </c>
      <c r="C136" s="264" t="s">
        <v>432</v>
      </c>
      <c r="D136" s="252">
        <v>10</v>
      </c>
      <c r="E136" s="252">
        <v>350</v>
      </c>
      <c r="F136" s="252">
        <v>2025</v>
      </c>
      <c r="G136" s="256">
        <f t="shared" si="5"/>
        <v>3500</v>
      </c>
    </row>
    <row r="137" spans="1:16" ht="25.5" customHeight="1">
      <c r="A137" s="252">
        <v>15</v>
      </c>
      <c r="B137" s="248" t="s">
        <v>721</v>
      </c>
      <c r="C137" s="248" t="s">
        <v>726</v>
      </c>
      <c r="D137" s="252">
        <f>E137/35</f>
        <v>12</v>
      </c>
      <c r="E137" s="252">
        <v>420</v>
      </c>
      <c r="F137" s="252">
        <v>2025</v>
      </c>
      <c r="G137" s="283">
        <v>2000</v>
      </c>
      <c r="O137" s="268" t="s">
        <v>722</v>
      </c>
    </row>
    <row r="138" spans="1:16" ht="25.5" customHeight="1">
      <c r="A138" s="252">
        <v>16</v>
      </c>
      <c r="B138" s="248" t="s">
        <v>729</v>
      </c>
      <c r="C138" s="248" t="s">
        <v>363</v>
      </c>
      <c r="D138" s="252">
        <v>10</v>
      </c>
      <c r="E138" s="252">
        <v>400</v>
      </c>
      <c r="F138" s="252">
        <v>2025</v>
      </c>
      <c r="G138" s="256">
        <v>4500</v>
      </c>
      <c r="P138" s="285"/>
    </row>
    <row r="139" spans="1:16" s="246" customFormat="1" ht="24.95" customHeight="1">
      <c r="A139" s="252">
        <v>17</v>
      </c>
      <c r="B139" s="248" t="s">
        <v>562</v>
      </c>
      <c r="C139" s="264" t="s">
        <v>563</v>
      </c>
      <c r="D139" s="252">
        <v>10</v>
      </c>
      <c r="E139" s="252">
        <v>360</v>
      </c>
      <c r="F139" s="252">
        <v>2026</v>
      </c>
      <c r="G139" s="256">
        <f t="shared" si="5"/>
        <v>3600</v>
      </c>
    </row>
    <row r="140" spans="1:16" s="246" customFormat="1" ht="24.95" customHeight="1">
      <c r="A140" s="252">
        <v>18</v>
      </c>
      <c r="B140" s="248" t="s">
        <v>564</v>
      </c>
      <c r="C140" s="264" t="s">
        <v>565</v>
      </c>
      <c r="D140" s="252">
        <v>10</v>
      </c>
      <c r="E140" s="252">
        <v>480</v>
      </c>
      <c r="F140" s="252">
        <v>2026</v>
      </c>
      <c r="G140" s="256">
        <f t="shared" si="5"/>
        <v>4800</v>
      </c>
    </row>
    <row r="141" spans="1:16" s="246" customFormat="1" ht="24.95" customHeight="1">
      <c r="A141" s="252">
        <v>19</v>
      </c>
      <c r="B141" s="248" t="s">
        <v>566</v>
      </c>
      <c r="C141" s="264" t="s">
        <v>567</v>
      </c>
      <c r="D141" s="252">
        <v>15</v>
      </c>
      <c r="E141" s="252">
        <v>445</v>
      </c>
      <c r="F141" s="252">
        <v>2026</v>
      </c>
      <c r="G141" s="256">
        <f t="shared" si="5"/>
        <v>4450</v>
      </c>
    </row>
    <row r="142" spans="1:16" s="246" customFormat="1" ht="25.5" customHeight="1">
      <c r="A142" s="252">
        <v>20</v>
      </c>
      <c r="B142" s="248" t="s">
        <v>994</v>
      </c>
      <c r="C142" s="264" t="s">
        <v>995</v>
      </c>
      <c r="D142" s="252">
        <v>12</v>
      </c>
      <c r="E142" s="252">
        <v>420</v>
      </c>
      <c r="F142" s="252">
        <v>2030</v>
      </c>
      <c r="G142" s="256">
        <f t="shared" si="5"/>
        <v>4200</v>
      </c>
    </row>
    <row r="143" spans="1:16" s="246" customFormat="1" ht="25.5" customHeight="1">
      <c r="A143" s="252">
        <v>21</v>
      </c>
      <c r="B143" s="248" t="s">
        <v>568</v>
      </c>
      <c r="C143" s="264" t="s">
        <v>430</v>
      </c>
      <c r="D143" s="252">
        <v>10</v>
      </c>
      <c r="E143" s="252">
        <v>350</v>
      </c>
      <c r="F143" s="252">
        <v>2030</v>
      </c>
      <c r="G143" s="256">
        <f t="shared" si="5"/>
        <v>3500</v>
      </c>
    </row>
    <row r="144" spans="1:16" s="291" customFormat="1" ht="25.5" customHeight="1">
      <c r="A144" s="287" t="s">
        <v>756</v>
      </c>
      <c r="B144" s="288" t="s">
        <v>757</v>
      </c>
      <c r="C144" s="288"/>
      <c r="D144" s="289"/>
      <c r="E144" s="289"/>
      <c r="F144" s="289"/>
      <c r="G144" s="290"/>
      <c r="P144" s="292"/>
    </row>
    <row r="145" spans="1:16" ht="30" customHeight="1">
      <c r="A145" s="252">
        <v>1</v>
      </c>
      <c r="B145" s="257" t="s">
        <v>731</v>
      </c>
      <c r="C145" s="248" t="s">
        <v>724</v>
      </c>
      <c r="D145" s="252">
        <v>16</v>
      </c>
      <c r="E145" s="252">
        <v>480</v>
      </c>
      <c r="F145" s="286">
        <v>2018</v>
      </c>
      <c r="G145" s="256">
        <v>10000</v>
      </c>
      <c r="P145" s="284"/>
    </row>
    <row r="146" spans="1:16" ht="19.5" customHeight="1">
      <c r="A146" s="252">
        <v>2</v>
      </c>
      <c r="B146" s="248" t="s">
        <v>730</v>
      </c>
      <c r="C146" s="248" t="s">
        <v>724</v>
      </c>
      <c r="D146" s="286">
        <f>E146/30</f>
        <v>48</v>
      </c>
      <c r="E146" s="252">
        <v>1440</v>
      </c>
      <c r="F146" s="286">
        <v>2017</v>
      </c>
      <c r="G146" s="256">
        <v>6500</v>
      </c>
    </row>
    <row r="147" spans="1:16" ht="29.25" customHeight="1">
      <c r="A147" s="252">
        <v>3</v>
      </c>
      <c r="B147" s="257" t="s">
        <v>732</v>
      </c>
      <c r="C147" s="248" t="s">
        <v>724</v>
      </c>
      <c r="D147" s="252">
        <v>15</v>
      </c>
      <c r="E147" s="252">
        <v>300</v>
      </c>
      <c r="F147" s="252"/>
      <c r="G147" s="252"/>
    </row>
    <row r="148" spans="1:16" s="629" customFormat="1" ht="29.25" customHeight="1">
      <c r="A148" s="252">
        <v>4</v>
      </c>
      <c r="B148" s="627" t="s">
        <v>750</v>
      </c>
      <c r="C148" s="628" t="s">
        <v>744</v>
      </c>
      <c r="D148" s="626">
        <f t="shared" ref="D148:D153" si="6">E148/20</f>
        <v>5</v>
      </c>
      <c r="E148" s="626">
        <v>100</v>
      </c>
      <c r="F148" s="626"/>
      <c r="G148" s="626"/>
      <c r="O148" s="629">
        <v>732</v>
      </c>
    </row>
    <row r="149" spans="1:16" s="629" customFormat="1" ht="29.25" customHeight="1">
      <c r="A149" s="252">
        <v>5</v>
      </c>
      <c r="B149" s="627" t="s">
        <v>751</v>
      </c>
      <c r="C149" s="628" t="s">
        <v>745</v>
      </c>
      <c r="D149" s="626">
        <f t="shared" si="6"/>
        <v>5</v>
      </c>
      <c r="E149" s="626">
        <v>100</v>
      </c>
      <c r="F149" s="626"/>
      <c r="G149" s="626"/>
      <c r="O149" s="629">
        <v>679</v>
      </c>
    </row>
    <row r="150" spans="1:16" s="629" customFormat="1" ht="29.25" customHeight="1">
      <c r="A150" s="252">
        <v>6</v>
      </c>
      <c r="B150" s="627" t="s">
        <v>752</v>
      </c>
      <c r="C150" s="628" t="s">
        <v>747</v>
      </c>
      <c r="D150" s="626">
        <f t="shared" si="6"/>
        <v>5</v>
      </c>
      <c r="E150" s="626">
        <v>100</v>
      </c>
      <c r="F150" s="626"/>
      <c r="G150" s="626"/>
      <c r="O150" s="629">
        <v>243</v>
      </c>
    </row>
    <row r="151" spans="1:16" s="629" customFormat="1" ht="29.25" customHeight="1">
      <c r="A151" s="252">
        <v>7</v>
      </c>
      <c r="B151" s="627" t="s">
        <v>753</v>
      </c>
      <c r="C151" s="628" t="s">
        <v>726</v>
      </c>
      <c r="D151" s="626">
        <f t="shared" si="6"/>
        <v>5</v>
      </c>
      <c r="E151" s="626">
        <v>100</v>
      </c>
      <c r="F151" s="626"/>
      <c r="G151" s="626"/>
      <c r="O151" s="629">
        <v>260</v>
      </c>
    </row>
    <row r="152" spans="1:16" s="629" customFormat="1" ht="29.25" customHeight="1">
      <c r="A152" s="252">
        <v>8</v>
      </c>
      <c r="B152" s="627" t="s">
        <v>754</v>
      </c>
      <c r="C152" s="628" t="s">
        <v>748</v>
      </c>
      <c r="D152" s="626">
        <f t="shared" si="6"/>
        <v>5</v>
      </c>
      <c r="E152" s="626">
        <v>100</v>
      </c>
      <c r="F152" s="626"/>
      <c r="G152" s="626"/>
      <c r="O152" s="629">
        <v>215</v>
      </c>
    </row>
    <row r="153" spans="1:16" s="629" customFormat="1" ht="29.25" customHeight="1">
      <c r="A153" s="252">
        <v>9</v>
      </c>
      <c r="B153" s="627" t="s">
        <v>755</v>
      </c>
      <c r="C153" s="628" t="s">
        <v>725</v>
      </c>
      <c r="D153" s="626">
        <f t="shared" si="6"/>
        <v>5</v>
      </c>
      <c r="E153" s="626">
        <v>100</v>
      </c>
      <c r="F153" s="626"/>
      <c r="G153" s="626"/>
      <c r="O153" s="629">
        <v>617</v>
      </c>
    </row>
    <row r="154" spans="1:16" ht="29.25" customHeight="1">
      <c r="A154" s="252">
        <v>10</v>
      </c>
      <c r="B154" s="257" t="s">
        <v>733</v>
      </c>
      <c r="C154" s="248" t="s">
        <v>744</v>
      </c>
      <c r="D154" s="252"/>
      <c r="E154" s="252"/>
      <c r="F154" s="252">
        <v>2017</v>
      </c>
      <c r="G154" s="256">
        <v>2500</v>
      </c>
    </row>
    <row r="155" spans="1:16" ht="30.75" customHeight="1">
      <c r="A155" s="252">
        <v>11</v>
      </c>
      <c r="B155" s="257" t="s">
        <v>734</v>
      </c>
      <c r="C155" s="248" t="s">
        <v>745</v>
      </c>
      <c r="D155" s="252"/>
      <c r="E155" s="252"/>
      <c r="F155" s="252">
        <v>2017</v>
      </c>
      <c r="G155" s="256">
        <v>7575</v>
      </c>
    </row>
    <row r="156" spans="1:16" ht="30.75" customHeight="1">
      <c r="A156" s="252">
        <v>12</v>
      </c>
      <c r="B156" s="257" t="s">
        <v>735</v>
      </c>
      <c r="C156" s="248" t="s">
        <v>746</v>
      </c>
      <c r="D156" s="252"/>
      <c r="E156" s="252"/>
      <c r="F156" s="252">
        <v>2017</v>
      </c>
      <c r="G156" s="256">
        <v>12792</v>
      </c>
    </row>
    <row r="157" spans="1:16" ht="30.75" customHeight="1">
      <c r="A157" s="252">
        <v>13</v>
      </c>
      <c r="B157" s="257" t="s">
        <v>736</v>
      </c>
      <c r="C157" s="248" t="s">
        <v>747</v>
      </c>
      <c r="D157" s="252"/>
      <c r="E157" s="252"/>
      <c r="F157" s="252">
        <v>2017</v>
      </c>
      <c r="G157" s="256">
        <v>11297</v>
      </c>
    </row>
    <row r="158" spans="1:16" ht="30.75" customHeight="1">
      <c r="A158" s="252">
        <v>14</v>
      </c>
      <c r="B158" s="257" t="s">
        <v>737</v>
      </c>
      <c r="C158" s="248" t="s">
        <v>728</v>
      </c>
      <c r="D158" s="252"/>
      <c r="E158" s="252"/>
      <c r="F158" s="252">
        <v>2017</v>
      </c>
      <c r="G158" s="256">
        <v>9200</v>
      </c>
    </row>
    <row r="159" spans="1:16" ht="30.75" customHeight="1">
      <c r="A159" s="252">
        <v>15</v>
      </c>
      <c r="B159" s="257" t="s">
        <v>738</v>
      </c>
      <c r="C159" s="248" t="s">
        <v>726</v>
      </c>
      <c r="D159" s="252"/>
      <c r="E159" s="252"/>
      <c r="F159" s="252">
        <v>2017</v>
      </c>
      <c r="G159" s="256">
        <v>10000</v>
      </c>
    </row>
    <row r="160" spans="1:16" ht="30.75" customHeight="1">
      <c r="A160" s="252">
        <v>16</v>
      </c>
      <c r="B160" s="257" t="s">
        <v>739</v>
      </c>
      <c r="C160" s="248" t="s">
        <v>748</v>
      </c>
      <c r="D160" s="252"/>
      <c r="E160" s="252"/>
      <c r="F160" s="252">
        <v>2017</v>
      </c>
      <c r="G160" s="256">
        <v>10400</v>
      </c>
    </row>
    <row r="161" spans="1:7" ht="30.75" customHeight="1">
      <c r="A161" s="252">
        <v>17</v>
      </c>
      <c r="B161" s="257" t="s">
        <v>740</v>
      </c>
      <c r="C161" s="248" t="s">
        <v>725</v>
      </c>
      <c r="D161" s="252"/>
      <c r="E161" s="252"/>
      <c r="F161" s="252">
        <v>2017</v>
      </c>
      <c r="G161" s="256">
        <v>14558</v>
      </c>
    </row>
    <row r="162" spans="1:7" ht="30.75" customHeight="1">
      <c r="A162" s="252">
        <v>18</v>
      </c>
      <c r="B162" s="257" t="s">
        <v>741</v>
      </c>
      <c r="C162" s="248" t="s">
        <v>749</v>
      </c>
      <c r="D162" s="252"/>
      <c r="E162" s="252"/>
      <c r="F162" s="252">
        <v>2017</v>
      </c>
      <c r="G162" s="256">
        <v>6040</v>
      </c>
    </row>
  </sheetData>
  <mergeCells count="7">
    <mergeCell ref="A1:G1"/>
    <mergeCell ref="A3:A4"/>
    <mergeCell ref="B3:B4"/>
    <mergeCell ref="C3:C4"/>
    <mergeCell ref="D3:E3"/>
    <mergeCell ref="F3:F4"/>
    <mergeCell ref="G3:G4"/>
  </mergeCells>
  <phoneticPr fontId="40" type="noConversion"/>
  <printOptions horizontalCentered="1"/>
  <pageMargins left="0.22" right="0.18" top="0.53" bottom="0.6" header="0.18" footer="0.21"/>
  <pageSetup paperSize="9" orientation="portrait" horizontalDpi="300" verticalDpi="300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U17"/>
  <sheetViews>
    <sheetView topLeftCell="I1" workbookViewId="0">
      <selection activeCell="N17" sqref="N17"/>
    </sheetView>
  </sheetViews>
  <sheetFormatPr defaultRowHeight="15"/>
  <cols>
    <col min="2" max="2" width="22.875" customWidth="1"/>
    <col min="4" max="4" width="12.625" bestFit="1" customWidth="1"/>
    <col min="5" max="5" width="10" customWidth="1"/>
    <col min="6" max="21" width="11.625" customWidth="1"/>
  </cols>
  <sheetData>
    <row r="1" spans="1:21" s="90" customFormat="1" ht="20.25" customHeight="1">
      <c r="A1" s="787" t="s">
        <v>1</v>
      </c>
      <c r="B1" s="787" t="s">
        <v>2</v>
      </c>
      <c r="C1" s="787" t="s">
        <v>76</v>
      </c>
      <c r="D1" s="782" t="s">
        <v>175</v>
      </c>
      <c r="E1" s="782"/>
      <c r="F1" s="782"/>
      <c r="G1" s="782"/>
      <c r="H1" s="782"/>
      <c r="I1" s="782"/>
      <c r="J1" s="104"/>
      <c r="K1" s="782" t="s">
        <v>176</v>
      </c>
      <c r="L1" s="782"/>
      <c r="M1" s="782"/>
      <c r="N1" s="782"/>
      <c r="O1" s="782"/>
      <c r="P1" s="782"/>
      <c r="Q1" s="782"/>
      <c r="R1" s="782"/>
      <c r="S1" s="782"/>
      <c r="T1" s="782"/>
      <c r="U1" s="782"/>
    </row>
    <row r="2" spans="1:21" s="90" customFormat="1" ht="29.25" customHeight="1">
      <c r="A2" s="787"/>
      <c r="B2" s="787"/>
      <c r="C2" s="787"/>
      <c r="D2" s="89" t="s">
        <v>64</v>
      </c>
      <c r="E2" s="89" t="s">
        <v>65</v>
      </c>
      <c r="F2" s="89" t="s">
        <v>66</v>
      </c>
      <c r="G2" s="89" t="s">
        <v>67</v>
      </c>
      <c r="H2" s="89" t="s">
        <v>68</v>
      </c>
      <c r="I2" s="89" t="s">
        <v>69</v>
      </c>
      <c r="J2" s="89"/>
      <c r="K2" s="89" t="s">
        <v>77</v>
      </c>
      <c r="L2" s="89" t="s">
        <v>78</v>
      </c>
      <c r="M2" s="89" t="s">
        <v>79</v>
      </c>
      <c r="N2" s="89" t="s">
        <v>80</v>
      </c>
      <c r="O2" s="89" t="s">
        <v>81</v>
      </c>
      <c r="P2" s="89" t="s">
        <v>82</v>
      </c>
      <c r="Q2" s="89" t="s">
        <v>83</v>
      </c>
      <c r="R2" s="89" t="s">
        <v>84</v>
      </c>
      <c r="S2" s="89" t="s">
        <v>85</v>
      </c>
      <c r="T2" s="89" t="s">
        <v>86</v>
      </c>
      <c r="U2" s="89" t="s">
        <v>87</v>
      </c>
    </row>
    <row r="3" spans="1:21">
      <c r="A3" s="104">
        <v>8</v>
      </c>
      <c r="B3" s="155" t="s">
        <v>132</v>
      </c>
      <c r="C3" s="125" t="s">
        <v>116</v>
      </c>
      <c r="D3" s="278">
        <f>'Mam non'!D79+'Tieu hoc'!D78+THCS!D76+THPT!D81+'Trung tam'!D74</f>
        <v>1132963.3999999999</v>
      </c>
      <c r="E3" s="278">
        <f>'Mam non'!E79+'Tieu hoc'!E78+THCS!E76+THPT!E81+'Trung tam'!E74</f>
        <v>1511787.2</v>
      </c>
      <c r="F3" s="278">
        <f>'Mam non'!F79+'Tieu hoc'!F78+THCS!F76+THPT!F81+'Trung tam'!F74</f>
        <v>1782788.25</v>
      </c>
      <c r="G3" s="278">
        <f>'Mam non'!G79+'Tieu hoc'!G78+THCS!G76+THPT!G81+'Trung tam'!G74</f>
        <v>2140010.2999999998</v>
      </c>
      <c r="H3" s="278">
        <f>'Mam non'!H79+'Tieu hoc'!H78+THCS!H76+THPT!H81+'Trung tam'!H74</f>
        <v>1825556.145</v>
      </c>
      <c r="I3" s="278">
        <f>'Mam non'!I79+'Tieu hoc'!I78+THCS!I76+THPT!I81+'Trung tam'!I74</f>
        <v>2069881</v>
      </c>
      <c r="J3" s="278">
        <f>SUM(P3:T3)</f>
        <v>14141508.428571429</v>
      </c>
      <c r="K3" s="278">
        <f>'Mam non'!J79+'Tieu hoc'!J78+THCS!J76+THPT!J81+'Trung tam'!J74</f>
        <v>2285658</v>
      </c>
      <c r="L3" s="278">
        <f>'Mam non'!K79+'Tieu hoc'!K78+THCS!K76+THPT!K81+'Trung tam'!K74</f>
        <v>2417797.5</v>
      </c>
      <c r="M3" s="278">
        <f>'Mam non'!L79+'Tieu hoc'!L78+THCS!L76+THPT!L81+'Trung tam'!L74</f>
        <v>2391754.2272727275</v>
      </c>
      <c r="N3" s="278">
        <f>'Mam non'!M79+'Tieu hoc'!M78+THCS!M76+THPT!M81+'Trung tam'!M74</f>
        <v>2471573.8021390373</v>
      </c>
      <c r="O3" s="278">
        <f>'Mam non'!N79+'Tieu hoc'!N78+THCS!N76+THPT!N81+'Trung tam'!N74</f>
        <v>2599306.4705882352</v>
      </c>
      <c r="P3" s="278">
        <f>'Mam non'!O79+'Tieu hoc'!O78+THCS!O76+THPT!O81+'Trung tam'!O74</f>
        <v>2724481.7142857141</v>
      </c>
      <c r="Q3" s="278">
        <f>'Mam non'!P79+'Tieu hoc'!P78+THCS!P76+THPT!P81+'Trung tam'!P74</f>
        <v>2785603.4285714286</v>
      </c>
      <c r="R3" s="278">
        <f>'Mam non'!Q79+'Tieu hoc'!Q78+THCS!Q76+THPT!Q81+'Trung tam'!Q74</f>
        <v>2827567.2857142859</v>
      </c>
      <c r="S3" s="278">
        <f>'Mam non'!R79+'Tieu hoc'!R78+THCS!R76+THPT!R81+'Trung tam'!R74</f>
        <v>2854114.7142857141</v>
      </c>
      <c r="T3" s="278">
        <f>'Mam non'!S79+'Tieu hoc'!S78+THCS!S76+THPT!S81+'Trung tam'!S74</f>
        <v>2949741.2857142854</v>
      </c>
      <c r="U3" s="278">
        <f>'Mam non'!T79+'Tieu hoc'!T78+THCS!T76+THPT!T81+'Trung tam'!T74</f>
        <v>3853743</v>
      </c>
    </row>
    <row r="4" spans="1:21">
      <c r="A4" s="104"/>
      <c r="B4" s="154" t="s">
        <v>123</v>
      </c>
      <c r="C4" s="121" t="s">
        <v>90</v>
      </c>
      <c r="D4" s="278">
        <f>'Mam non'!D80+'Tieu hoc'!D79+THCS!D77+THPT!D82+'Trung tam'!D75</f>
        <v>971441</v>
      </c>
      <c r="E4" s="278">
        <f>'Mam non'!E80+'Tieu hoc'!E79+THCS!E77+THPT!E82+'Trung tam'!E75</f>
        <v>1328994.75</v>
      </c>
      <c r="F4" s="278">
        <f>'Mam non'!F80+'Tieu hoc'!F79+THCS!F77+THPT!F82+'Trung tam'!F75</f>
        <v>1587639</v>
      </c>
      <c r="G4" s="278">
        <f>'Mam non'!G80+'Tieu hoc'!G79+THCS!G77+THPT!G82+'Trung tam'!G75</f>
        <v>1983915</v>
      </c>
      <c r="H4" s="278">
        <f>'Mam non'!H80+'Tieu hoc'!H79+THCS!H77+THPT!H82+'Trung tam'!H75</f>
        <v>1684244</v>
      </c>
      <c r="I4" s="278">
        <f>'Mam non'!I80+'Tieu hoc'!I79+THCS!I77+THPT!I82+'Trung tam'!I75</f>
        <v>1951178</v>
      </c>
      <c r="J4" s="278">
        <f>SUM(P4:T4)</f>
        <v>13093375.600000001</v>
      </c>
      <c r="K4" s="278">
        <f>'Mam non'!J80+'Tieu hoc'!J79+THCS!J77+THPT!J82+'Trung tam'!J75</f>
        <v>2029238</v>
      </c>
      <c r="L4" s="278">
        <f>'Mam non'!K80+'Tieu hoc'!K79+THCS!K77+THPT!K82+'Trung tam'!K75</f>
        <v>2168541.5</v>
      </c>
      <c r="M4" s="278">
        <f>'Mam non'!L80+'Tieu hoc'!L79+THCS!L77+THPT!L82+'Trung tam'!L75</f>
        <v>2244651.7999999998</v>
      </c>
      <c r="N4" s="278">
        <f>'Mam non'!M80+'Tieu hoc'!M79+THCS!M77+THPT!M82+'Trung tam'!M75</f>
        <v>2328724.2999999998</v>
      </c>
      <c r="O4" s="278">
        <f>'Mam non'!N80+'Tieu hoc'!N79+THCS!N77+THPT!N82+'Trung tam'!N75</f>
        <v>2451575</v>
      </c>
      <c r="P4" s="278">
        <f>'Mam non'!O80+'Tieu hoc'!O79+THCS!O77+THPT!O82+'Trung tam'!O75</f>
        <v>2527396</v>
      </c>
      <c r="Q4" s="278">
        <f>'Mam non'!P80+'Tieu hoc'!P79+THCS!P77+THPT!P82+'Trung tam'!P75</f>
        <v>2588103.2999999998</v>
      </c>
      <c r="R4" s="278">
        <f>'Mam non'!Q80+'Tieu hoc'!Q79+THCS!Q77+THPT!Q82+'Trung tam'!Q75</f>
        <v>2616474.1</v>
      </c>
      <c r="S4" s="278">
        <f>'Mam non'!R80+'Tieu hoc'!R79+THCS!R77+THPT!R82+'Trung tam'!R75</f>
        <v>2643750.2000000002</v>
      </c>
      <c r="T4" s="278">
        <f>'Mam non'!S80+'Tieu hoc'!S79+THCS!S77+THPT!S82+'Trung tam'!S75</f>
        <v>2717652</v>
      </c>
      <c r="U4" s="278">
        <f>'Mam non'!T80+'Tieu hoc'!T79+THCS!T77+THPT!T82+'Trung tam'!T75</f>
        <v>3005793</v>
      </c>
    </row>
    <row r="5" spans="1:21">
      <c r="A5" s="104" t="s">
        <v>59</v>
      </c>
      <c r="B5" s="154" t="s">
        <v>584</v>
      </c>
      <c r="C5" s="146" t="s">
        <v>90</v>
      </c>
      <c r="D5" s="278">
        <f>'Mam non'!D81+'Tieu hoc'!D80+THCS!D78+THPT!D83+'Trung tam'!D76</f>
        <v>173009.4</v>
      </c>
      <c r="E5" s="278">
        <f>'Mam non'!E81+'Tieu hoc'!E80+THCS!E78+THPT!E83+'Trung tam'!E76</f>
        <v>202503.95</v>
      </c>
      <c r="F5" s="278">
        <f>'Mam non'!F81+'Tieu hoc'!F80+THCS!F78+THPT!F83+'Trung tam'!F76</f>
        <v>221023.25</v>
      </c>
      <c r="G5" s="278">
        <f>'Mam non'!G81+'Tieu hoc'!G80+THCS!G78+THPT!G83+'Trung tam'!G76</f>
        <v>183205.3</v>
      </c>
      <c r="H5" s="278">
        <f>'Mam non'!H81+'Tieu hoc'!H80+THCS!H78+THPT!H83+'Trung tam'!H76</f>
        <v>168278.14500000002</v>
      </c>
      <c r="I5" s="278">
        <f>'Mam non'!I81+'Tieu hoc'!I80+THCS!I78+THPT!I83+'Trung tam'!I76</f>
        <v>152717</v>
      </c>
      <c r="J5" s="278">
        <f>SUM(P5:T5)</f>
        <v>1225656.4285714286</v>
      </c>
      <c r="K5" s="278">
        <f>'Mam non'!J81+'Tieu hoc'!J80+THCS!J78+THPT!J83+'Trung tam'!J76</f>
        <v>292680</v>
      </c>
      <c r="L5" s="278">
        <f>'Mam non'!K81+'Tieu hoc'!K80+THCS!K78+THPT!K83+'Trung tam'!K76</f>
        <v>283117.5</v>
      </c>
      <c r="M5" s="278">
        <f>'Mam non'!L81+'Tieu hoc'!L80+THCS!L78+THPT!L83+'Trung tam'!L76</f>
        <v>182065.22727272729</v>
      </c>
      <c r="N5" s="278">
        <f>'Mam non'!M81+'Tieu hoc'!M80+THCS!M78+THPT!M83+'Trung tam'!M76</f>
        <v>178150.80213903746</v>
      </c>
      <c r="O5" s="278">
        <f>'Mam non'!N81+'Tieu hoc'!N80+THCS!N78+THPT!N83+'Trung tam'!N76</f>
        <v>184371.4705882353</v>
      </c>
      <c r="P5" s="278">
        <f>'Mam non'!O81+'Tieu hoc'!O80+THCS!O78+THPT!O83+'Trung tam'!O76</f>
        <v>231385.71428571426</v>
      </c>
      <c r="Q5" s="278">
        <f>'Mam non'!P81+'Tieu hoc'!P80+THCS!P78+THPT!P83+'Trung tam'!P76</f>
        <v>232241.42857142861</v>
      </c>
      <c r="R5" s="278">
        <f>'Mam non'!Q81+'Tieu hoc'!Q80+THCS!Q78+THPT!Q83+'Trung tam'!Q76</f>
        <v>245934.28571428574</v>
      </c>
      <c r="S5" s="278">
        <f>'Mam non'!R81+'Tieu hoc'!R80+THCS!R78+THPT!R83+'Trung tam'!R76</f>
        <v>246805.71428571426</v>
      </c>
      <c r="T5" s="278">
        <f>'Mam non'!S81+'Tieu hoc'!S80+THCS!S78+THPT!S83+'Trung tam'!S76</f>
        <v>269289.28571428568</v>
      </c>
      <c r="U5" s="278">
        <f>'Mam non'!T81+'Tieu hoc'!T80+THCS!T78+THPT!T83+'Trung tam'!T76</f>
        <v>872850</v>
      </c>
    </row>
    <row r="8" spans="1:21">
      <c r="U8" s="279">
        <f>U4*5</f>
        <v>15028965</v>
      </c>
    </row>
    <row r="17" hidden="1"/>
  </sheetData>
  <mergeCells count="5">
    <mergeCell ref="K1:U1"/>
    <mergeCell ref="A1:A2"/>
    <mergeCell ref="B1:B2"/>
    <mergeCell ref="C1:C2"/>
    <mergeCell ref="D1:I1"/>
  </mergeCells>
  <phoneticPr fontId="3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38"/>
  <sheetViews>
    <sheetView topLeftCell="A13" zoomScale="85" workbookViewId="0">
      <selection activeCell="K33" sqref="K33"/>
    </sheetView>
  </sheetViews>
  <sheetFormatPr defaultRowHeight="15"/>
  <cols>
    <col min="1" max="1" width="3.5" style="59" customWidth="1"/>
    <col min="2" max="2" width="29.625" style="59" customWidth="1"/>
    <col min="3" max="8" width="8.875" style="59" customWidth="1"/>
    <col min="9" max="9" width="11.125" style="59" customWidth="1"/>
    <col min="10" max="16384" width="9" style="59"/>
  </cols>
  <sheetData>
    <row r="1" spans="1:8" ht="18.75" customHeight="1">
      <c r="A1" s="816" t="s">
        <v>70</v>
      </c>
      <c r="B1" s="816"/>
      <c r="C1" s="816"/>
      <c r="D1" s="816"/>
      <c r="E1" s="816"/>
      <c r="F1" s="816"/>
      <c r="G1" s="816"/>
      <c r="H1" s="816"/>
    </row>
    <row r="2" spans="1:8" ht="12.75" customHeight="1">
      <c r="A2" s="60"/>
      <c r="B2" s="60"/>
      <c r="C2" s="60"/>
      <c r="D2" s="60"/>
      <c r="E2" s="60"/>
      <c r="F2" s="60"/>
      <c r="G2" s="60"/>
      <c r="H2" s="60"/>
    </row>
    <row r="3" spans="1:8" s="64" customFormat="1" ht="24" customHeight="1">
      <c r="A3" s="61" t="s">
        <v>1</v>
      </c>
      <c r="B3" s="61" t="s">
        <v>2</v>
      </c>
      <c r="C3" s="62" t="s">
        <v>64</v>
      </c>
      <c r="D3" s="62" t="s">
        <v>65</v>
      </c>
      <c r="E3" s="62" t="s">
        <v>66</v>
      </c>
      <c r="F3" s="62" t="s">
        <v>67</v>
      </c>
      <c r="G3" s="62" t="s">
        <v>68</v>
      </c>
      <c r="H3" s="63" t="s">
        <v>69</v>
      </c>
    </row>
    <row r="4" spans="1:8" s="68" customFormat="1" ht="18" customHeight="1">
      <c r="A4" s="65">
        <v>1</v>
      </c>
      <c r="B4" s="66" t="s">
        <v>40</v>
      </c>
      <c r="C4" s="67"/>
      <c r="D4" s="67"/>
      <c r="E4" s="67"/>
      <c r="F4" s="67"/>
      <c r="G4" s="67"/>
      <c r="H4" s="67"/>
    </row>
    <row r="5" spans="1:8" s="64" customFormat="1" ht="18" customHeight="1">
      <c r="A5" s="69"/>
      <c r="B5" s="70" t="s">
        <v>60</v>
      </c>
      <c r="C5" s="71"/>
      <c r="D5" s="71"/>
      <c r="E5" s="71"/>
      <c r="F5" s="71"/>
      <c r="G5" s="71"/>
      <c r="H5" s="71"/>
    </row>
    <row r="6" spans="1:8" s="68" customFormat="1" ht="18" customHeight="1">
      <c r="A6" s="69">
        <v>2</v>
      </c>
      <c r="B6" s="72" t="s">
        <v>13</v>
      </c>
      <c r="C6" s="73"/>
      <c r="D6" s="73"/>
      <c r="E6" s="73"/>
      <c r="F6" s="73"/>
      <c r="G6" s="73"/>
      <c r="H6" s="73"/>
    </row>
    <row r="7" spans="1:8" s="64" customFormat="1" ht="18" customHeight="1">
      <c r="A7" s="69"/>
      <c r="B7" s="70" t="s">
        <v>17</v>
      </c>
      <c r="C7" s="75"/>
      <c r="D7" s="75"/>
      <c r="E7" s="75"/>
      <c r="F7" s="75"/>
      <c r="G7" s="75"/>
      <c r="H7" s="75"/>
    </row>
    <row r="8" spans="1:8" s="64" customFormat="1" ht="18" customHeight="1">
      <c r="A8" s="69"/>
      <c r="B8" s="70" t="s">
        <v>19</v>
      </c>
      <c r="C8" s="75"/>
      <c r="D8" s="75"/>
      <c r="E8" s="75"/>
      <c r="F8" s="75"/>
      <c r="G8" s="75"/>
      <c r="H8" s="75"/>
    </row>
    <row r="9" spans="1:8" s="64" customFormat="1" ht="18" customHeight="1">
      <c r="A9" s="69"/>
      <c r="B9" s="70" t="s">
        <v>20</v>
      </c>
      <c r="C9" s="75"/>
      <c r="D9" s="75"/>
      <c r="E9" s="75"/>
      <c r="F9" s="75"/>
      <c r="G9" s="75"/>
      <c r="H9" s="75"/>
    </row>
    <row r="10" spans="1:8" s="68" customFormat="1" ht="18" customHeight="1">
      <c r="A10" s="69">
        <v>3</v>
      </c>
      <c r="B10" s="72" t="s">
        <v>14</v>
      </c>
      <c r="C10" s="73"/>
      <c r="D10" s="73"/>
      <c r="E10" s="73"/>
      <c r="F10" s="73"/>
      <c r="G10" s="73"/>
      <c r="H10" s="73"/>
    </row>
    <row r="11" spans="1:8" s="64" customFormat="1" ht="18" customHeight="1">
      <c r="A11" s="69"/>
      <c r="B11" s="70" t="s">
        <v>39</v>
      </c>
      <c r="C11" s="75"/>
      <c r="D11" s="75"/>
      <c r="E11" s="75"/>
      <c r="F11" s="75"/>
      <c r="G11" s="75"/>
      <c r="H11" s="75"/>
    </row>
    <row r="12" spans="1:8" s="64" customFormat="1" ht="18" customHeight="1">
      <c r="A12" s="69"/>
      <c r="B12" s="70" t="s">
        <v>21</v>
      </c>
      <c r="C12" s="75"/>
      <c r="D12" s="75"/>
      <c r="E12" s="75"/>
      <c r="F12" s="75"/>
      <c r="G12" s="75"/>
      <c r="H12" s="75"/>
    </row>
    <row r="13" spans="1:8" s="64" customFormat="1" ht="18" customHeight="1">
      <c r="A13" s="69"/>
      <c r="B13" s="70" t="s">
        <v>22</v>
      </c>
      <c r="C13" s="75"/>
      <c r="D13" s="75"/>
      <c r="E13" s="75"/>
      <c r="F13" s="75"/>
      <c r="G13" s="75"/>
      <c r="H13" s="75"/>
    </row>
    <row r="14" spans="1:8" s="68" customFormat="1" ht="18" customHeight="1">
      <c r="A14" s="69">
        <v>4</v>
      </c>
      <c r="B14" s="72" t="s">
        <v>15</v>
      </c>
      <c r="C14" s="73"/>
      <c r="D14" s="73"/>
      <c r="E14" s="73"/>
      <c r="F14" s="73"/>
      <c r="G14" s="73"/>
      <c r="H14" s="73"/>
    </row>
    <row r="15" spans="1:8" s="64" customFormat="1" ht="18" customHeight="1">
      <c r="A15" s="69"/>
      <c r="B15" s="70" t="s">
        <v>38</v>
      </c>
      <c r="C15" s="76"/>
      <c r="D15" s="76"/>
      <c r="E15" s="76"/>
      <c r="F15" s="76"/>
      <c r="G15" s="75"/>
      <c r="H15" s="75"/>
    </row>
    <row r="16" spans="1:8" s="64" customFormat="1" ht="18" customHeight="1">
      <c r="A16" s="69"/>
      <c r="B16" s="70" t="s">
        <v>72</v>
      </c>
      <c r="C16" s="75"/>
      <c r="D16" s="75"/>
      <c r="E16" s="75"/>
      <c r="F16" s="75"/>
      <c r="G16" s="75"/>
      <c r="H16" s="75"/>
    </row>
    <row r="17" spans="1:10" s="64" customFormat="1" ht="18" customHeight="1">
      <c r="A17" s="69"/>
      <c r="B17" s="87" t="s">
        <v>73</v>
      </c>
      <c r="C17" s="75"/>
      <c r="D17" s="75"/>
      <c r="E17" s="75"/>
      <c r="F17" s="75"/>
      <c r="G17" s="75"/>
      <c r="H17" s="75"/>
    </row>
    <row r="18" spans="1:10" s="64" customFormat="1" ht="18" customHeight="1">
      <c r="A18" s="69"/>
      <c r="B18" s="87" t="s">
        <v>74</v>
      </c>
      <c r="C18" s="75"/>
      <c r="D18" s="75"/>
      <c r="E18" s="75"/>
      <c r="F18" s="75"/>
      <c r="G18" s="75"/>
      <c r="H18" s="75"/>
    </row>
    <row r="19" spans="1:10" s="64" customFormat="1" ht="18" customHeight="1">
      <c r="A19" s="69"/>
      <c r="B19" s="70" t="s">
        <v>26</v>
      </c>
      <c r="C19" s="75"/>
      <c r="D19" s="75"/>
      <c r="E19" s="75"/>
      <c r="F19" s="75"/>
      <c r="G19" s="75"/>
      <c r="H19" s="75"/>
    </row>
    <row r="20" spans="1:10" s="64" customFormat="1" ht="18" customHeight="1">
      <c r="A20" s="69"/>
      <c r="B20" s="70" t="s">
        <v>27</v>
      </c>
      <c r="C20" s="75"/>
      <c r="D20" s="75"/>
      <c r="E20" s="75"/>
      <c r="F20" s="75"/>
      <c r="G20" s="75"/>
      <c r="H20" s="75"/>
    </row>
    <row r="21" spans="1:10" s="68" customFormat="1" ht="18" customHeight="1">
      <c r="A21" s="69">
        <v>5</v>
      </c>
      <c r="B21" s="72" t="s">
        <v>41</v>
      </c>
      <c r="C21" s="73"/>
      <c r="D21" s="73"/>
      <c r="E21" s="73"/>
      <c r="F21" s="73"/>
      <c r="G21" s="73"/>
      <c r="H21" s="73"/>
    </row>
    <row r="22" spans="1:10" s="64" customFormat="1" ht="18" customHeight="1">
      <c r="A22" s="69"/>
      <c r="B22" s="70" t="s">
        <v>37</v>
      </c>
      <c r="C22" s="75"/>
      <c r="D22" s="75"/>
      <c r="E22" s="75"/>
      <c r="F22" s="75"/>
      <c r="G22" s="75"/>
      <c r="H22" s="75"/>
    </row>
    <row r="23" spans="1:10" s="64" customFormat="1" ht="18" customHeight="1">
      <c r="A23" s="69"/>
      <c r="B23" s="70" t="s">
        <v>35</v>
      </c>
      <c r="C23" s="75"/>
      <c r="D23" s="75"/>
      <c r="E23" s="75"/>
      <c r="F23" s="75"/>
      <c r="G23" s="75"/>
      <c r="H23" s="75"/>
    </row>
    <row r="24" spans="1:10" s="64" customFormat="1" ht="18" customHeight="1">
      <c r="A24" s="69"/>
      <c r="B24" s="70" t="s">
        <v>36</v>
      </c>
      <c r="C24" s="75"/>
      <c r="D24" s="75"/>
      <c r="E24" s="75"/>
      <c r="F24" s="75"/>
      <c r="G24" s="75"/>
      <c r="H24" s="75"/>
    </row>
    <row r="25" spans="1:10" s="64" customFormat="1" ht="18" customHeight="1">
      <c r="A25" s="69"/>
      <c r="B25" s="70" t="s">
        <v>28</v>
      </c>
      <c r="C25" s="75"/>
      <c r="D25" s="75"/>
      <c r="E25" s="75"/>
      <c r="F25" s="75"/>
      <c r="G25" s="75"/>
      <c r="H25" s="75"/>
    </row>
    <row r="26" spans="1:10" s="68" customFormat="1" ht="18" customHeight="1">
      <c r="A26" s="69">
        <v>6</v>
      </c>
      <c r="B26" s="72" t="s">
        <v>42</v>
      </c>
      <c r="C26" s="73"/>
      <c r="D26" s="73"/>
      <c r="E26" s="73"/>
      <c r="F26" s="73"/>
      <c r="G26" s="73"/>
      <c r="H26" s="73"/>
    </row>
    <row r="27" spans="1:10" s="64" customFormat="1" ht="18" customHeight="1">
      <c r="A27" s="69"/>
      <c r="B27" s="70" t="s">
        <v>29</v>
      </c>
      <c r="C27" s="77"/>
      <c r="D27" s="77"/>
      <c r="E27" s="77"/>
      <c r="F27" s="77"/>
      <c r="G27" s="77"/>
      <c r="H27" s="77"/>
    </row>
    <row r="28" spans="1:10" s="64" customFormat="1" ht="18" customHeight="1">
      <c r="A28" s="69"/>
      <c r="B28" s="70" t="s">
        <v>30</v>
      </c>
      <c r="C28" s="77"/>
      <c r="D28" s="77"/>
      <c r="E28" s="77"/>
      <c r="F28" s="77"/>
      <c r="G28" s="77"/>
      <c r="H28" s="77"/>
    </row>
    <row r="29" spans="1:10" s="64" customFormat="1" ht="18" customHeight="1">
      <c r="A29" s="69"/>
      <c r="B29" s="70" t="s">
        <v>31</v>
      </c>
      <c r="C29" s="77"/>
      <c r="D29" s="77"/>
      <c r="E29" s="77"/>
      <c r="F29" s="77"/>
      <c r="G29" s="77"/>
      <c r="H29" s="77"/>
    </row>
    <row r="30" spans="1:10" s="64" customFormat="1" ht="18" customHeight="1">
      <c r="A30" s="69"/>
      <c r="B30" s="70" t="s">
        <v>75</v>
      </c>
      <c r="C30" s="77"/>
      <c r="D30" s="77"/>
      <c r="E30" s="77"/>
      <c r="F30" s="77"/>
      <c r="G30" s="77"/>
      <c r="H30" s="77"/>
      <c r="J30" s="78"/>
    </row>
    <row r="31" spans="1:10" s="64" customFormat="1" ht="18" customHeight="1">
      <c r="A31" s="69"/>
      <c r="B31" s="88" t="s">
        <v>33</v>
      </c>
      <c r="C31" s="77"/>
      <c r="D31" s="77"/>
      <c r="E31" s="77"/>
      <c r="F31" s="77"/>
      <c r="G31" s="77"/>
      <c r="H31" s="77"/>
    </row>
    <row r="32" spans="1:10" s="64" customFormat="1" ht="18" customHeight="1">
      <c r="A32" s="69"/>
      <c r="B32" s="88" t="s">
        <v>34</v>
      </c>
      <c r="C32" s="77"/>
      <c r="D32" s="77"/>
      <c r="E32" s="77"/>
      <c r="F32" s="77"/>
      <c r="G32" s="77"/>
      <c r="H32" s="77"/>
    </row>
    <row r="33" spans="1:8" s="68" customFormat="1" ht="18" customHeight="1">
      <c r="A33" s="69">
        <v>7</v>
      </c>
      <c r="B33" s="79" t="s">
        <v>63</v>
      </c>
      <c r="C33" s="74"/>
      <c r="D33" s="74"/>
      <c r="E33" s="74"/>
      <c r="F33" s="74"/>
      <c r="G33" s="74"/>
      <c r="H33" s="74"/>
    </row>
    <row r="34" spans="1:8" s="64" customFormat="1" ht="18" customHeight="1">
      <c r="A34" s="69"/>
      <c r="B34" s="80" t="s">
        <v>62</v>
      </c>
      <c r="C34" s="71"/>
      <c r="D34" s="71"/>
      <c r="E34" s="71"/>
      <c r="F34" s="71"/>
      <c r="G34" s="71"/>
      <c r="H34" s="71"/>
    </row>
    <row r="35" spans="1:8" s="64" customFormat="1" ht="18" customHeight="1">
      <c r="A35" s="81"/>
      <c r="B35" s="82" t="s">
        <v>61</v>
      </c>
      <c r="C35" s="84"/>
      <c r="D35" s="83"/>
      <c r="E35" s="83"/>
      <c r="F35" s="83"/>
      <c r="G35" s="83"/>
      <c r="H35" s="83"/>
    </row>
    <row r="36" spans="1:8" s="85" customFormat="1" ht="21.75" customHeight="1">
      <c r="B36" s="817" t="s">
        <v>71</v>
      </c>
      <c r="C36" s="817"/>
      <c r="D36" s="817"/>
      <c r="E36" s="817"/>
      <c r="F36" s="817"/>
      <c r="G36" s="817"/>
      <c r="H36" s="817"/>
    </row>
    <row r="37" spans="1:8" s="85" customFormat="1">
      <c r="C37" s="86"/>
      <c r="D37" s="86"/>
      <c r="E37" s="86"/>
      <c r="F37" s="86"/>
      <c r="G37" s="86"/>
      <c r="H37" s="86"/>
    </row>
    <row r="38" spans="1:8" s="64" customFormat="1" ht="14.25"/>
  </sheetData>
  <mergeCells count="2">
    <mergeCell ref="A1:H1"/>
    <mergeCell ref="B36:H36"/>
  </mergeCells>
  <phoneticPr fontId="0" type="noConversion"/>
  <printOptions horizontalCentered="1"/>
  <pageMargins left="0.25" right="0.25" top="0.42" bottom="0.25" header="0.42" footer="0.2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34"/>
  <sheetViews>
    <sheetView zoomScale="40" workbookViewId="0">
      <selection activeCell="C4" sqref="C4:R34"/>
    </sheetView>
  </sheetViews>
  <sheetFormatPr defaultRowHeight="15"/>
  <cols>
    <col min="1" max="1" width="2.75" customWidth="1"/>
    <col min="2" max="2" width="30.625" customWidth="1"/>
    <col min="3" max="3" width="6.875" customWidth="1"/>
    <col min="4" max="4" width="5.375" customWidth="1"/>
    <col min="5" max="5" width="7.375" customWidth="1"/>
    <col min="6" max="6" width="5.375" customWidth="1"/>
    <col min="7" max="7" width="7.375" customWidth="1"/>
    <col min="8" max="8" width="5.375" customWidth="1"/>
    <col min="9" max="9" width="7.25" customWidth="1"/>
    <col min="10" max="10" width="5.375" customWidth="1"/>
    <col min="11" max="11" width="7.375" customWidth="1"/>
    <col min="12" max="12" width="5.375" customWidth="1"/>
    <col min="13" max="13" width="6.25" customWidth="1"/>
    <col min="14" max="14" width="6.375" customWidth="1"/>
    <col min="15" max="15" width="7" customWidth="1"/>
    <col min="16" max="16" width="5.375" customWidth="1"/>
    <col min="17" max="17" width="7" customWidth="1"/>
    <col min="18" max="18" width="5.375" customWidth="1"/>
  </cols>
  <sheetData>
    <row r="1" spans="1:18" ht="20.25">
      <c r="C1" s="1" t="s">
        <v>0</v>
      </c>
      <c r="D1" s="1"/>
      <c r="E1" s="1"/>
      <c r="F1" s="1"/>
      <c r="G1" s="1"/>
      <c r="H1" s="1"/>
    </row>
    <row r="2" spans="1:18" ht="15.75">
      <c r="A2" s="722" t="s">
        <v>1</v>
      </c>
      <c r="B2" s="724" t="s">
        <v>2</v>
      </c>
      <c r="C2" s="720" t="s">
        <v>5</v>
      </c>
      <c r="D2" s="721"/>
      <c r="E2" s="720" t="s">
        <v>6</v>
      </c>
      <c r="F2" s="721"/>
      <c r="G2" s="720" t="s">
        <v>7</v>
      </c>
      <c r="H2" s="721"/>
      <c r="I2" s="720" t="s">
        <v>8</v>
      </c>
      <c r="J2" s="721"/>
      <c r="K2" s="720" t="s">
        <v>9</v>
      </c>
      <c r="L2" s="721"/>
      <c r="M2" s="720" t="s">
        <v>10</v>
      </c>
      <c r="N2" s="721"/>
      <c r="O2" s="720" t="s">
        <v>11</v>
      </c>
      <c r="P2" s="721"/>
      <c r="Q2" s="720" t="s">
        <v>12</v>
      </c>
      <c r="R2" s="721"/>
    </row>
    <row r="3" spans="1:18" ht="15.75">
      <c r="A3" s="723"/>
      <c r="B3" s="725"/>
      <c r="C3" s="2" t="s">
        <v>3</v>
      </c>
      <c r="D3" s="2" t="s">
        <v>4</v>
      </c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</row>
    <row r="4" spans="1:18" ht="15.75">
      <c r="A4" s="3">
        <v>1</v>
      </c>
      <c r="B4" s="6" t="s">
        <v>40</v>
      </c>
      <c r="C4" s="7">
        <v>2</v>
      </c>
      <c r="D4" s="7">
        <v>0</v>
      </c>
      <c r="E4" s="7">
        <v>2</v>
      </c>
      <c r="F4" s="7">
        <v>0</v>
      </c>
      <c r="G4" s="7">
        <v>2</v>
      </c>
      <c r="H4" s="7">
        <v>0</v>
      </c>
      <c r="I4" s="7">
        <v>3</v>
      </c>
      <c r="J4" s="7">
        <v>0</v>
      </c>
      <c r="K4" s="7">
        <v>5</v>
      </c>
      <c r="L4" s="7">
        <v>0</v>
      </c>
      <c r="M4" s="7">
        <v>8</v>
      </c>
      <c r="N4" s="7">
        <v>0</v>
      </c>
      <c r="O4" s="7">
        <v>12</v>
      </c>
      <c r="P4" s="7">
        <v>0</v>
      </c>
      <c r="Q4" s="7">
        <v>15</v>
      </c>
      <c r="R4" s="7">
        <v>0</v>
      </c>
    </row>
    <row r="5" spans="1:18" ht="15.75">
      <c r="A5" s="4"/>
      <c r="B5" s="8" t="s">
        <v>43</v>
      </c>
      <c r="C5" s="9">
        <v>2</v>
      </c>
      <c r="D5" s="9">
        <v>0</v>
      </c>
      <c r="E5" s="9">
        <v>2</v>
      </c>
      <c r="F5" s="9">
        <v>0</v>
      </c>
      <c r="G5" s="9">
        <v>2</v>
      </c>
      <c r="H5" s="9">
        <v>0</v>
      </c>
      <c r="I5" s="9">
        <v>3</v>
      </c>
      <c r="J5" s="9">
        <v>0</v>
      </c>
      <c r="K5" s="9">
        <v>4</v>
      </c>
      <c r="L5" s="9">
        <v>0</v>
      </c>
      <c r="M5" s="9">
        <v>7</v>
      </c>
      <c r="N5" s="9">
        <v>0</v>
      </c>
      <c r="O5" s="9">
        <v>9</v>
      </c>
      <c r="P5" s="9">
        <v>0</v>
      </c>
      <c r="Q5" s="9">
        <v>12</v>
      </c>
      <c r="R5" s="9">
        <v>0</v>
      </c>
    </row>
    <row r="6" spans="1:18" ht="15.75">
      <c r="A6" s="4"/>
      <c r="B6" s="10" t="s">
        <v>16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</row>
    <row r="7" spans="1:18" ht="15.75">
      <c r="A7" s="19"/>
      <c r="B7" s="10" t="s">
        <v>18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</row>
    <row r="8" spans="1:18" ht="15.75">
      <c r="A8" s="4">
        <v>2</v>
      </c>
      <c r="B8" s="11" t="s">
        <v>13</v>
      </c>
      <c r="C8" s="9">
        <v>8</v>
      </c>
      <c r="D8" s="9">
        <v>5</v>
      </c>
      <c r="E8" s="9">
        <v>10</v>
      </c>
      <c r="F8" s="9">
        <v>7</v>
      </c>
      <c r="G8" s="9">
        <v>8</v>
      </c>
      <c r="H8" s="9">
        <v>13</v>
      </c>
      <c r="I8" s="9">
        <v>13</v>
      </c>
      <c r="J8" s="9">
        <v>18</v>
      </c>
      <c r="K8" s="9">
        <v>16</v>
      </c>
      <c r="L8" s="9">
        <v>16</v>
      </c>
      <c r="M8" s="9">
        <v>19</v>
      </c>
      <c r="N8" s="9">
        <v>50</v>
      </c>
      <c r="O8" s="9">
        <v>20</v>
      </c>
      <c r="P8" s="9">
        <v>95</v>
      </c>
      <c r="Q8" s="9">
        <v>27</v>
      </c>
      <c r="R8" s="9">
        <v>126</v>
      </c>
    </row>
    <row r="9" spans="1:18" ht="15.75">
      <c r="A9" s="4"/>
      <c r="B9" s="8" t="s">
        <v>17</v>
      </c>
      <c r="C9" s="9">
        <v>2</v>
      </c>
      <c r="D9" s="9">
        <v>0</v>
      </c>
      <c r="E9" s="9">
        <v>2</v>
      </c>
      <c r="F9" s="9">
        <v>0</v>
      </c>
      <c r="G9" s="9">
        <v>2</v>
      </c>
      <c r="H9" s="9">
        <v>0</v>
      </c>
      <c r="I9" s="9">
        <v>4</v>
      </c>
      <c r="J9" s="9">
        <v>0</v>
      </c>
      <c r="K9" s="9">
        <v>5</v>
      </c>
      <c r="L9" s="9">
        <v>0</v>
      </c>
      <c r="M9" s="9">
        <v>5</v>
      </c>
      <c r="N9" s="9">
        <v>0</v>
      </c>
      <c r="O9" s="9">
        <v>5</v>
      </c>
      <c r="P9" s="9">
        <v>0</v>
      </c>
      <c r="Q9" s="9">
        <v>5</v>
      </c>
      <c r="R9" s="9">
        <v>0</v>
      </c>
    </row>
    <row r="10" spans="1:18" ht="15.75">
      <c r="A10" s="4"/>
      <c r="B10" s="10" t="s">
        <v>19</v>
      </c>
      <c r="C10" s="9">
        <v>6</v>
      </c>
      <c r="D10" s="9">
        <v>5</v>
      </c>
      <c r="E10" s="9">
        <v>8</v>
      </c>
      <c r="F10" s="9">
        <v>7</v>
      </c>
      <c r="G10" s="9">
        <v>6</v>
      </c>
      <c r="H10" s="9">
        <v>13</v>
      </c>
      <c r="I10" s="9">
        <v>9</v>
      </c>
      <c r="J10" s="9">
        <v>18</v>
      </c>
      <c r="K10" s="9">
        <v>11</v>
      </c>
      <c r="L10" s="9">
        <v>16</v>
      </c>
      <c r="M10" s="9">
        <v>14</v>
      </c>
      <c r="N10" s="9">
        <v>50</v>
      </c>
      <c r="O10" s="9">
        <v>15</v>
      </c>
      <c r="P10" s="9">
        <v>95</v>
      </c>
      <c r="Q10" s="9">
        <v>22</v>
      </c>
      <c r="R10" s="9">
        <v>126</v>
      </c>
    </row>
    <row r="11" spans="1:18" ht="15.75">
      <c r="A11" s="19"/>
      <c r="B11" s="10" t="s">
        <v>20</v>
      </c>
      <c r="C11" s="9">
        <v>1</v>
      </c>
      <c r="D11" s="9">
        <v>0</v>
      </c>
      <c r="E11" s="9">
        <v>1</v>
      </c>
      <c r="F11" s="9">
        <v>0</v>
      </c>
      <c r="G11" s="9">
        <v>1</v>
      </c>
      <c r="H11" s="9">
        <v>2</v>
      </c>
      <c r="I11" s="9">
        <v>3</v>
      </c>
      <c r="J11" s="9">
        <v>2</v>
      </c>
      <c r="K11" s="9">
        <v>3</v>
      </c>
      <c r="L11" s="9">
        <v>3</v>
      </c>
      <c r="M11" s="9">
        <v>5</v>
      </c>
      <c r="N11" s="9">
        <v>13</v>
      </c>
      <c r="O11" s="9">
        <v>4</v>
      </c>
      <c r="P11" s="9">
        <v>9</v>
      </c>
      <c r="Q11" s="9">
        <v>8</v>
      </c>
      <c r="R11" s="9">
        <v>17</v>
      </c>
    </row>
    <row r="12" spans="1:18" ht="15.75">
      <c r="A12" s="4">
        <v>3</v>
      </c>
      <c r="B12" s="11" t="s">
        <v>14</v>
      </c>
      <c r="C12" s="9">
        <v>138</v>
      </c>
      <c r="D12" s="9">
        <v>83</v>
      </c>
      <c r="E12" s="9">
        <v>167</v>
      </c>
      <c r="F12" s="9">
        <v>138</v>
      </c>
      <c r="G12" s="9">
        <v>163</v>
      </c>
      <c r="H12" s="9">
        <v>239</v>
      </c>
      <c r="I12" s="9">
        <v>245</v>
      </c>
      <c r="J12" s="9">
        <v>336</v>
      </c>
      <c r="K12" s="9">
        <v>314</v>
      </c>
      <c r="L12" s="9">
        <v>324</v>
      </c>
      <c r="M12" s="9">
        <v>348</v>
      </c>
      <c r="N12" s="9">
        <v>852</v>
      </c>
      <c r="O12" s="9">
        <v>323</v>
      </c>
      <c r="P12" s="9">
        <v>1615</v>
      </c>
      <c r="Q12" s="9">
        <v>528</v>
      </c>
      <c r="R12" s="9">
        <v>2295</v>
      </c>
    </row>
    <row r="13" spans="1:18" ht="15.75">
      <c r="A13" s="4"/>
      <c r="B13" s="8" t="s">
        <v>39</v>
      </c>
      <c r="C13" s="9">
        <v>24</v>
      </c>
      <c r="D13" s="9">
        <v>0</v>
      </c>
      <c r="E13" s="9">
        <v>29</v>
      </c>
      <c r="F13" s="9">
        <v>0</v>
      </c>
      <c r="G13" s="9">
        <v>30</v>
      </c>
      <c r="H13" s="9">
        <v>0</v>
      </c>
      <c r="I13" s="9">
        <v>35</v>
      </c>
      <c r="J13" s="9">
        <v>0</v>
      </c>
      <c r="K13" s="9">
        <v>54</v>
      </c>
      <c r="L13" s="9">
        <v>0</v>
      </c>
      <c r="M13" s="9">
        <v>48</v>
      </c>
      <c r="N13" s="9">
        <v>0</v>
      </c>
      <c r="O13" s="9">
        <v>61</v>
      </c>
      <c r="P13" s="9">
        <v>0</v>
      </c>
      <c r="Q13" s="9">
        <v>60</v>
      </c>
      <c r="R13" s="9">
        <v>0</v>
      </c>
    </row>
    <row r="14" spans="1:18" ht="15.75">
      <c r="A14" s="4"/>
      <c r="B14" s="10" t="s">
        <v>21</v>
      </c>
      <c r="C14" s="9">
        <v>114</v>
      </c>
      <c r="D14" s="9">
        <v>83</v>
      </c>
      <c r="E14" s="9">
        <v>138</v>
      </c>
      <c r="F14" s="9">
        <v>138</v>
      </c>
      <c r="G14" s="9">
        <v>133</v>
      </c>
      <c r="H14" s="9">
        <v>239</v>
      </c>
      <c r="I14" s="9">
        <v>210</v>
      </c>
      <c r="J14" s="9">
        <v>336</v>
      </c>
      <c r="K14" s="9">
        <v>260</v>
      </c>
      <c r="L14" s="9">
        <v>324</v>
      </c>
      <c r="M14" s="9">
        <v>300</v>
      </c>
      <c r="N14" s="9">
        <v>852</v>
      </c>
      <c r="O14" s="9">
        <v>296</v>
      </c>
      <c r="P14" s="9">
        <v>1615</v>
      </c>
      <c r="Q14" s="9">
        <v>468</v>
      </c>
      <c r="R14" s="9">
        <v>2295</v>
      </c>
    </row>
    <row r="15" spans="1:18" ht="15.75">
      <c r="A15" s="19"/>
      <c r="B15" s="10" t="s">
        <v>22</v>
      </c>
      <c r="C15" s="9">
        <v>32</v>
      </c>
      <c r="D15" s="9">
        <v>30</v>
      </c>
      <c r="E15" s="9">
        <v>48</v>
      </c>
      <c r="F15" s="9">
        <v>70</v>
      </c>
      <c r="G15" s="9">
        <v>44</v>
      </c>
      <c r="H15" s="9">
        <v>122</v>
      </c>
      <c r="I15" s="9">
        <v>93</v>
      </c>
      <c r="J15" s="9">
        <v>183</v>
      </c>
      <c r="K15" s="9">
        <v>94</v>
      </c>
      <c r="L15" s="9">
        <v>162</v>
      </c>
      <c r="M15" s="9">
        <v>116</v>
      </c>
      <c r="N15" s="9">
        <v>531</v>
      </c>
      <c r="O15" s="9">
        <v>136</v>
      </c>
      <c r="P15" s="9">
        <v>794</v>
      </c>
      <c r="Q15" s="9">
        <v>210</v>
      </c>
      <c r="R15" s="9">
        <v>1065</v>
      </c>
    </row>
    <row r="16" spans="1:18">
      <c r="A16" s="4">
        <v>4</v>
      </c>
      <c r="B16" s="11" t="s">
        <v>15</v>
      </c>
      <c r="C16" s="12">
        <v>11</v>
      </c>
      <c r="D16" s="12">
        <v>5</v>
      </c>
      <c r="E16" s="12">
        <v>13</v>
      </c>
      <c r="F16" s="12">
        <v>8</v>
      </c>
      <c r="G16" s="12">
        <v>13</v>
      </c>
      <c r="H16" s="12">
        <v>13</v>
      </c>
      <c r="I16" s="12">
        <v>26</v>
      </c>
      <c r="J16" s="12">
        <v>19</v>
      </c>
      <c r="K16" s="12">
        <v>30</v>
      </c>
      <c r="L16" s="12">
        <v>17</v>
      </c>
      <c r="M16" s="12">
        <v>34</v>
      </c>
      <c r="N16" s="12">
        <v>55</v>
      </c>
      <c r="O16" s="12">
        <v>51</v>
      </c>
      <c r="P16" s="12">
        <v>103</v>
      </c>
      <c r="Q16" s="12">
        <v>101</v>
      </c>
      <c r="R16" s="12">
        <v>134</v>
      </c>
    </row>
    <row r="17" spans="1:18" ht="15.75">
      <c r="A17" s="4"/>
      <c r="B17" s="8" t="s">
        <v>38</v>
      </c>
      <c r="C17" s="9">
        <v>1</v>
      </c>
      <c r="D17" s="9">
        <v>0</v>
      </c>
      <c r="E17" s="9">
        <v>1</v>
      </c>
      <c r="F17" s="9">
        <v>0</v>
      </c>
      <c r="G17" s="9">
        <v>1</v>
      </c>
      <c r="H17" s="9">
        <v>0</v>
      </c>
      <c r="I17" s="9">
        <v>3</v>
      </c>
      <c r="J17" s="9">
        <v>0</v>
      </c>
      <c r="K17" s="9">
        <v>3</v>
      </c>
      <c r="L17" s="9">
        <v>0</v>
      </c>
      <c r="M17" s="9">
        <v>3</v>
      </c>
      <c r="N17" s="9">
        <v>0</v>
      </c>
      <c r="O17" s="9">
        <v>6</v>
      </c>
      <c r="P17" s="9">
        <v>0</v>
      </c>
      <c r="Q17" s="9">
        <v>28</v>
      </c>
      <c r="R17" s="9">
        <v>0</v>
      </c>
    </row>
    <row r="18" spans="1:18" ht="15.75">
      <c r="A18" s="4"/>
      <c r="B18" s="10" t="s">
        <v>23</v>
      </c>
      <c r="C18" s="14">
        <v>8</v>
      </c>
      <c r="D18" s="14">
        <v>5</v>
      </c>
      <c r="E18" s="14">
        <v>10</v>
      </c>
      <c r="F18" s="14">
        <v>8</v>
      </c>
      <c r="G18" s="14">
        <v>9</v>
      </c>
      <c r="H18" s="14">
        <v>13</v>
      </c>
      <c r="I18" s="14">
        <v>15</v>
      </c>
      <c r="J18" s="14">
        <v>19</v>
      </c>
      <c r="K18" s="14">
        <v>18</v>
      </c>
      <c r="L18" s="14">
        <v>17</v>
      </c>
      <c r="M18" s="14">
        <v>24</v>
      </c>
      <c r="N18" s="14">
        <v>55</v>
      </c>
      <c r="O18" s="14">
        <v>31</v>
      </c>
      <c r="P18" s="14">
        <v>103</v>
      </c>
      <c r="Q18" s="9">
        <v>40</v>
      </c>
      <c r="R18" s="9">
        <v>134</v>
      </c>
    </row>
    <row r="19" spans="1:18" ht="15.75">
      <c r="A19" s="4"/>
      <c r="B19" s="10" t="s">
        <v>24</v>
      </c>
      <c r="C19" s="14">
        <v>3</v>
      </c>
      <c r="D19" s="9">
        <v>0</v>
      </c>
      <c r="E19" s="9">
        <v>3</v>
      </c>
      <c r="F19" s="9">
        <v>0</v>
      </c>
      <c r="G19" s="9">
        <v>3</v>
      </c>
      <c r="H19" s="9">
        <v>0</v>
      </c>
      <c r="I19" s="9">
        <v>4</v>
      </c>
      <c r="J19" s="9">
        <v>0</v>
      </c>
      <c r="K19" s="9">
        <v>5</v>
      </c>
      <c r="L19" s="9">
        <v>0</v>
      </c>
      <c r="M19" s="9">
        <v>6</v>
      </c>
      <c r="N19" s="9">
        <v>0</v>
      </c>
      <c r="O19" s="9">
        <v>9</v>
      </c>
      <c r="P19" s="9">
        <v>0</v>
      </c>
      <c r="Q19" s="9">
        <v>9</v>
      </c>
      <c r="R19" s="9">
        <v>0</v>
      </c>
    </row>
    <row r="20" spans="1:18" ht="15.75">
      <c r="A20" s="4"/>
      <c r="B20" s="10" t="s">
        <v>25</v>
      </c>
      <c r="C20" s="14">
        <v>5</v>
      </c>
      <c r="D20" s="9">
        <v>5</v>
      </c>
      <c r="E20" s="9">
        <v>7</v>
      </c>
      <c r="F20" s="9">
        <v>8</v>
      </c>
      <c r="G20" s="9">
        <v>6</v>
      </c>
      <c r="H20" s="9">
        <v>13</v>
      </c>
      <c r="I20" s="9">
        <v>11</v>
      </c>
      <c r="J20" s="9">
        <v>19</v>
      </c>
      <c r="K20" s="9">
        <v>13</v>
      </c>
      <c r="L20" s="9">
        <v>17</v>
      </c>
      <c r="M20" s="9">
        <v>18</v>
      </c>
      <c r="N20" s="9">
        <v>55</v>
      </c>
      <c r="O20" s="9">
        <v>22</v>
      </c>
      <c r="P20" s="9">
        <v>103</v>
      </c>
      <c r="Q20" s="9">
        <v>31</v>
      </c>
      <c r="R20" s="9">
        <v>134</v>
      </c>
    </row>
    <row r="21" spans="1:18" ht="15.75">
      <c r="A21" s="4"/>
      <c r="B21" s="10" t="s">
        <v>26</v>
      </c>
      <c r="C21" s="14">
        <v>8</v>
      </c>
      <c r="D21" s="14">
        <v>5</v>
      </c>
      <c r="E21" s="14">
        <v>10</v>
      </c>
      <c r="F21" s="14">
        <v>8</v>
      </c>
      <c r="G21" s="14">
        <v>9</v>
      </c>
      <c r="H21" s="14">
        <v>13</v>
      </c>
      <c r="I21" s="14">
        <v>15</v>
      </c>
      <c r="J21" s="14">
        <v>19</v>
      </c>
      <c r="K21" s="14">
        <v>18</v>
      </c>
      <c r="L21" s="14">
        <v>17</v>
      </c>
      <c r="M21" s="14">
        <v>24</v>
      </c>
      <c r="N21" s="14">
        <v>55</v>
      </c>
      <c r="O21" s="14">
        <v>31</v>
      </c>
      <c r="P21" s="14">
        <v>103</v>
      </c>
      <c r="Q21" s="9">
        <v>40</v>
      </c>
      <c r="R21" s="9">
        <v>134</v>
      </c>
    </row>
    <row r="22" spans="1:18" ht="15.75">
      <c r="A22" s="19"/>
      <c r="B22" s="10" t="s">
        <v>27</v>
      </c>
      <c r="C22" s="9">
        <v>2</v>
      </c>
      <c r="D22" s="9">
        <v>0</v>
      </c>
      <c r="E22" s="9">
        <v>2</v>
      </c>
      <c r="F22" s="9">
        <v>0</v>
      </c>
      <c r="G22" s="9">
        <v>3</v>
      </c>
      <c r="H22" s="9">
        <v>0</v>
      </c>
      <c r="I22" s="9">
        <v>8</v>
      </c>
      <c r="J22" s="9">
        <v>0</v>
      </c>
      <c r="K22" s="9">
        <v>9</v>
      </c>
      <c r="L22" s="9">
        <v>0</v>
      </c>
      <c r="M22" s="9">
        <v>7</v>
      </c>
      <c r="N22" s="9">
        <v>0</v>
      </c>
      <c r="O22" s="9">
        <v>14</v>
      </c>
      <c r="P22" s="9">
        <v>0</v>
      </c>
      <c r="Q22" s="9">
        <v>34</v>
      </c>
      <c r="R22" s="9">
        <v>0</v>
      </c>
    </row>
    <row r="23" spans="1:18" ht="15.75">
      <c r="A23" s="4">
        <v>5</v>
      </c>
      <c r="B23" s="11" t="s">
        <v>41</v>
      </c>
      <c r="C23" s="9">
        <v>25</v>
      </c>
      <c r="D23" s="9">
        <v>38</v>
      </c>
      <c r="E23" s="9">
        <v>27</v>
      </c>
      <c r="F23" s="9">
        <v>40</v>
      </c>
      <c r="G23" s="9">
        <v>27</v>
      </c>
      <c r="H23" s="9">
        <v>40</v>
      </c>
      <c r="I23" s="9">
        <v>29</v>
      </c>
      <c r="J23" s="9">
        <v>44</v>
      </c>
      <c r="K23" s="9">
        <v>39</v>
      </c>
      <c r="L23" s="9">
        <v>46</v>
      </c>
      <c r="M23" s="9">
        <v>51</v>
      </c>
      <c r="N23" s="9">
        <v>46</v>
      </c>
      <c r="O23" s="9">
        <v>51</v>
      </c>
      <c r="P23" s="9">
        <v>48</v>
      </c>
      <c r="Q23" s="9">
        <v>55</v>
      </c>
      <c r="R23" s="9">
        <v>48</v>
      </c>
    </row>
    <row r="24" spans="1:18" ht="15.75">
      <c r="A24" s="4"/>
      <c r="B24" s="8" t="s">
        <v>37</v>
      </c>
      <c r="C24" s="9">
        <v>5</v>
      </c>
      <c r="D24" s="9"/>
      <c r="E24" s="9">
        <v>5</v>
      </c>
      <c r="F24" s="9"/>
      <c r="G24" s="9">
        <v>5</v>
      </c>
      <c r="H24" s="9"/>
      <c r="I24" s="9">
        <v>5</v>
      </c>
      <c r="J24" s="9"/>
      <c r="K24" s="9">
        <v>15</v>
      </c>
      <c r="L24" s="9"/>
      <c r="M24" s="9">
        <v>27</v>
      </c>
      <c r="N24" s="9"/>
      <c r="O24" s="9">
        <v>27</v>
      </c>
      <c r="P24" s="9"/>
      <c r="Q24" s="9">
        <v>29</v>
      </c>
      <c r="R24" s="9"/>
    </row>
    <row r="25" spans="1:18" ht="15.75">
      <c r="A25" s="4"/>
      <c r="B25" s="10" t="s">
        <v>35</v>
      </c>
      <c r="C25" s="9">
        <v>2</v>
      </c>
      <c r="D25" s="9"/>
      <c r="E25" s="9">
        <v>2</v>
      </c>
      <c r="F25" s="9"/>
      <c r="G25" s="9">
        <v>2</v>
      </c>
      <c r="H25" s="9"/>
      <c r="I25" s="9">
        <v>2</v>
      </c>
      <c r="J25" s="9"/>
      <c r="K25" s="9">
        <v>2</v>
      </c>
      <c r="L25" s="9"/>
      <c r="M25" s="9">
        <v>2</v>
      </c>
      <c r="N25" s="9"/>
      <c r="O25" s="9">
        <v>2</v>
      </c>
      <c r="P25" s="9"/>
      <c r="Q25" s="9">
        <v>2</v>
      </c>
      <c r="R25" s="9"/>
    </row>
    <row r="26" spans="1:18" ht="15.75">
      <c r="A26" s="4"/>
      <c r="B26" s="10" t="s">
        <v>36</v>
      </c>
      <c r="C26" s="9">
        <v>18</v>
      </c>
      <c r="D26" s="9">
        <v>38</v>
      </c>
      <c r="E26" s="9">
        <v>20</v>
      </c>
      <c r="F26" s="9">
        <v>40</v>
      </c>
      <c r="G26" s="9">
        <v>20</v>
      </c>
      <c r="H26" s="9">
        <v>40</v>
      </c>
      <c r="I26" s="9">
        <v>22</v>
      </c>
      <c r="J26" s="9">
        <v>44</v>
      </c>
      <c r="K26" s="9">
        <v>22</v>
      </c>
      <c r="L26" s="9">
        <v>46</v>
      </c>
      <c r="M26" s="9">
        <v>22</v>
      </c>
      <c r="N26" s="9">
        <v>46</v>
      </c>
      <c r="O26" s="9">
        <v>22</v>
      </c>
      <c r="P26" s="9">
        <v>48</v>
      </c>
      <c r="Q26" s="9">
        <v>24</v>
      </c>
      <c r="R26" s="9">
        <v>48</v>
      </c>
    </row>
    <row r="27" spans="1:18" ht="15.75">
      <c r="A27" s="19"/>
      <c r="B27" s="8" t="s">
        <v>28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1:18" ht="15.75">
      <c r="A28" s="4">
        <v>6</v>
      </c>
      <c r="B28" s="11" t="s">
        <v>42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ht="15.75">
      <c r="A29" s="4"/>
      <c r="B29" s="15" t="s">
        <v>29</v>
      </c>
      <c r="C29" s="16">
        <v>17.2</v>
      </c>
      <c r="D29" s="16">
        <v>16.600000000000001</v>
      </c>
      <c r="E29" s="16">
        <v>16.7</v>
      </c>
      <c r="F29" s="16">
        <v>19.7</v>
      </c>
      <c r="G29" s="16">
        <v>20.3</v>
      </c>
      <c r="H29" s="16">
        <v>18.399999999999999</v>
      </c>
      <c r="I29" s="16">
        <v>18.8</v>
      </c>
      <c r="J29" s="16">
        <v>18.600000000000001</v>
      </c>
      <c r="K29" s="16">
        <v>19.600000000000001</v>
      </c>
      <c r="L29" s="16">
        <v>20.2</v>
      </c>
      <c r="M29" s="16">
        <v>18.3</v>
      </c>
      <c r="N29" s="16">
        <v>16.5</v>
      </c>
      <c r="O29" s="16">
        <v>16.100000000000001</v>
      </c>
      <c r="P29" s="16">
        <v>20.100000000000001</v>
      </c>
      <c r="Q29" s="16">
        <v>19.5</v>
      </c>
      <c r="R29" s="16">
        <v>18.2</v>
      </c>
    </row>
    <row r="30" spans="1:18" ht="15.75">
      <c r="A30" s="4"/>
      <c r="B30" s="15" t="s">
        <v>30</v>
      </c>
      <c r="C30" s="16" t="s">
        <v>45</v>
      </c>
      <c r="D30" s="16">
        <v>1</v>
      </c>
      <c r="E30" s="16">
        <v>1</v>
      </c>
      <c r="F30" s="16">
        <v>1</v>
      </c>
      <c r="G30" s="16">
        <v>1</v>
      </c>
      <c r="H30" s="16">
        <v>1</v>
      </c>
      <c r="I30" s="16">
        <v>1</v>
      </c>
      <c r="J30" s="16">
        <v>1</v>
      </c>
      <c r="K30" s="16">
        <v>1</v>
      </c>
      <c r="L30" s="16">
        <v>1</v>
      </c>
      <c r="M30" s="16">
        <v>1</v>
      </c>
      <c r="N30" s="16">
        <v>1</v>
      </c>
      <c r="O30" s="16">
        <v>1</v>
      </c>
      <c r="P30" s="16">
        <v>1</v>
      </c>
      <c r="Q30" s="16">
        <v>1</v>
      </c>
      <c r="R30" s="16">
        <v>1</v>
      </c>
    </row>
    <row r="31" spans="1:18" ht="15.75">
      <c r="A31" s="4"/>
      <c r="B31" s="15" t="s">
        <v>31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ht="15.75">
      <c r="A32" s="4"/>
      <c r="B32" s="15" t="s">
        <v>32</v>
      </c>
      <c r="C32" s="9">
        <v>1</v>
      </c>
      <c r="D32" s="9">
        <v>0</v>
      </c>
      <c r="E32" s="9">
        <v>1.2</v>
      </c>
      <c r="F32" s="9">
        <v>0</v>
      </c>
      <c r="G32" s="9">
        <v>1.5</v>
      </c>
      <c r="H32" s="9">
        <v>0</v>
      </c>
      <c r="I32" s="9">
        <v>1.7</v>
      </c>
      <c r="J32" s="9">
        <v>0</v>
      </c>
      <c r="K32" s="9">
        <v>1.1000000000000001</v>
      </c>
      <c r="L32" s="9">
        <v>0</v>
      </c>
      <c r="M32" s="9">
        <v>1.2</v>
      </c>
      <c r="N32" s="9">
        <v>0</v>
      </c>
      <c r="O32" s="9">
        <v>1.4</v>
      </c>
      <c r="P32" s="9">
        <v>0</v>
      </c>
      <c r="Q32" s="9">
        <v>1.4</v>
      </c>
      <c r="R32" s="9">
        <v>0</v>
      </c>
    </row>
    <row r="33" spans="1:18" ht="15.75">
      <c r="A33" s="4"/>
      <c r="B33" s="15" t="s">
        <v>33</v>
      </c>
      <c r="C33" s="9">
        <v>10</v>
      </c>
      <c r="D33" s="9">
        <v>0</v>
      </c>
      <c r="E33" s="9">
        <v>11</v>
      </c>
      <c r="F33" s="9">
        <v>0</v>
      </c>
      <c r="G33" s="9" t="s">
        <v>46</v>
      </c>
      <c r="H33" s="9">
        <v>10</v>
      </c>
      <c r="I33" s="9" t="s">
        <v>47</v>
      </c>
      <c r="J33" s="9" t="s">
        <v>48</v>
      </c>
      <c r="K33" s="9" t="s">
        <v>49</v>
      </c>
      <c r="L33" s="9">
        <v>12</v>
      </c>
      <c r="M33" s="9" t="s">
        <v>50</v>
      </c>
      <c r="N33" s="9">
        <v>25</v>
      </c>
      <c r="O33" s="9" t="s">
        <v>51</v>
      </c>
      <c r="P33" s="9">
        <v>45</v>
      </c>
      <c r="Q33" s="9" t="s">
        <v>52</v>
      </c>
      <c r="R33" s="9" t="s">
        <v>53</v>
      </c>
    </row>
    <row r="34" spans="1:18" ht="15.75">
      <c r="A34" s="5"/>
      <c r="B34" s="17" t="s">
        <v>34</v>
      </c>
      <c r="C34" s="18">
        <v>15</v>
      </c>
      <c r="D34" s="18">
        <v>0</v>
      </c>
      <c r="E34" s="18">
        <v>15.7</v>
      </c>
      <c r="F34" s="18">
        <v>0</v>
      </c>
      <c r="G34" s="18" t="s">
        <v>54</v>
      </c>
      <c r="H34" s="18">
        <v>15</v>
      </c>
      <c r="I34" s="18" t="s">
        <v>55</v>
      </c>
      <c r="J34" s="18">
        <v>25</v>
      </c>
      <c r="K34" s="18" t="s">
        <v>56</v>
      </c>
      <c r="L34" s="18">
        <v>20</v>
      </c>
      <c r="M34" s="18" t="s">
        <v>57</v>
      </c>
      <c r="N34" s="18">
        <v>50</v>
      </c>
      <c r="O34" s="18">
        <v>85</v>
      </c>
      <c r="P34" s="18">
        <v>70</v>
      </c>
      <c r="Q34" s="18" t="s">
        <v>58</v>
      </c>
      <c r="R34" s="18">
        <v>70</v>
      </c>
    </row>
  </sheetData>
  <mergeCells count="10">
    <mergeCell ref="A2:A3"/>
    <mergeCell ref="B2:B3"/>
    <mergeCell ref="C2:D2"/>
    <mergeCell ref="E2:F2"/>
    <mergeCell ref="O2:P2"/>
    <mergeCell ref="Q2:R2"/>
    <mergeCell ref="G2:H2"/>
    <mergeCell ref="I2:J2"/>
    <mergeCell ref="K2:L2"/>
    <mergeCell ref="M2:N2"/>
  </mergeCells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34"/>
  <sheetViews>
    <sheetView topLeftCell="A4" zoomScale="55" workbookViewId="0">
      <selection activeCell="C4" sqref="C4:R34"/>
    </sheetView>
  </sheetViews>
  <sheetFormatPr defaultRowHeight="15"/>
  <cols>
    <col min="1" max="1" width="2.75" customWidth="1"/>
    <col min="2" max="2" width="30.625" customWidth="1"/>
    <col min="3" max="3" width="6.875" customWidth="1"/>
    <col min="4" max="4" width="5.375" customWidth="1"/>
    <col min="5" max="5" width="7.375" customWidth="1"/>
    <col min="6" max="6" width="5.375" customWidth="1"/>
    <col min="7" max="7" width="7.375" customWidth="1"/>
    <col min="8" max="8" width="5.375" customWidth="1"/>
    <col min="9" max="9" width="7.25" customWidth="1"/>
    <col min="10" max="10" width="5.375" customWidth="1"/>
    <col min="11" max="11" width="7.375" customWidth="1"/>
    <col min="12" max="12" width="5.375" customWidth="1"/>
    <col min="13" max="13" width="6.25" customWidth="1"/>
    <col min="14" max="14" width="6.375" customWidth="1"/>
    <col min="15" max="15" width="7" customWidth="1"/>
    <col min="16" max="16" width="5.375" customWidth="1"/>
    <col min="17" max="17" width="7" customWidth="1"/>
    <col min="18" max="18" width="5.375" customWidth="1"/>
  </cols>
  <sheetData>
    <row r="1" spans="1:18" ht="20.25">
      <c r="C1" s="1" t="s">
        <v>0</v>
      </c>
      <c r="D1" s="1"/>
      <c r="E1" s="1"/>
      <c r="F1" s="1"/>
      <c r="G1" s="1"/>
      <c r="H1" s="1"/>
    </row>
    <row r="2" spans="1:18" ht="15.75">
      <c r="A2" s="722" t="s">
        <v>1</v>
      </c>
      <c r="B2" s="724" t="s">
        <v>2</v>
      </c>
      <c r="C2" s="720" t="s">
        <v>5</v>
      </c>
      <c r="D2" s="721"/>
      <c r="E2" s="720" t="s">
        <v>6</v>
      </c>
      <c r="F2" s="721"/>
      <c r="G2" s="720" t="s">
        <v>7</v>
      </c>
      <c r="H2" s="721"/>
      <c r="I2" s="720" t="s">
        <v>8</v>
      </c>
      <c r="J2" s="721"/>
      <c r="K2" s="720" t="s">
        <v>9</v>
      </c>
      <c r="L2" s="721"/>
      <c r="M2" s="720" t="s">
        <v>10</v>
      </c>
      <c r="N2" s="721"/>
      <c r="O2" s="720" t="s">
        <v>11</v>
      </c>
      <c r="P2" s="721"/>
      <c r="Q2" s="720" t="s">
        <v>12</v>
      </c>
      <c r="R2" s="721"/>
    </row>
    <row r="3" spans="1:18" ht="15.75">
      <c r="A3" s="723"/>
      <c r="B3" s="725"/>
      <c r="C3" s="2" t="s">
        <v>3</v>
      </c>
      <c r="D3" s="2" t="s">
        <v>4</v>
      </c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</row>
    <row r="4" spans="1:18" ht="15.75">
      <c r="A4" s="3">
        <v>1</v>
      </c>
      <c r="B4" s="6" t="s">
        <v>40</v>
      </c>
      <c r="C4" s="7">
        <v>5</v>
      </c>
      <c r="D4" s="7"/>
      <c r="E4" s="7">
        <v>5</v>
      </c>
      <c r="F4" s="7"/>
      <c r="G4" s="7">
        <v>5</v>
      </c>
      <c r="H4" s="7"/>
      <c r="I4" s="7">
        <v>5</v>
      </c>
      <c r="J4" s="7"/>
      <c r="K4" s="7">
        <v>5</v>
      </c>
      <c r="L4" s="7"/>
      <c r="M4" s="7">
        <v>5</v>
      </c>
      <c r="N4" s="7"/>
      <c r="O4" s="7">
        <v>5</v>
      </c>
      <c r="P4" s="7"/>
      <c r="Q4" s="7">
        <v>5</v>
      </c>
      <c r="R4" s="7"/>
    </row>
    <row r="5" spans="1:18" ht="15.75">
      <c r="A5" s="4"/>
      <c r="B5" s="8" t="s">
        <v>43</v>
      </c>
      <c r="C5" s="9">
        <v>5</v>
      </c>
      <c r="D5" s="9"/>
      <c r="E5" s="9">
        <v>5</v>
      </c>
      <c r="F5" s="9"/>
      <c r="G5" s="9">
        <v>5</v>
      </c>
      <c r="H5" s="9"/>
      <c r="I5" s="9">
        <v>5</v>
      </c>
      <c r="J5" s="9"/>
      <c r="K5" s="9">
        <v>5</v>
      </c>
      <c r="L5" s="9"/>
      <c r="M5" s="9">
        <v>5</v>
      </c>
      <c r="N5" s="9"/>
      <c r="O5" s="9">
        <v>5</v>
      </c>
      <c r="P5" s="9"/>
      <c r="Q5" s="9">
        <v>5</v>
      </c>
      <c r="R5" s="9"/>
    </row>
    <row r="6" spans="1:18" ht="15.75">
      <c r="A6" s="4"/>
      <c r="B6" s="10" t="s">
        <v>16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15.75">
      <c r="A7" s="19"/>
      <c r="B7" s="10" t="s">
        <v>18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18" ht="15.75">
      <c r="A8" s="4">
        <v>2</v>
      </c>
      <c r="B8" s="11" t="s">
        <v>13</v>
      </c>
      <c r="C8" s="9">
        <v>39</v>
      </c>
      <c r="D8" s="9">
        <v>12</v>
      </c>
      <c r="E8" s="9">
        <v>40</v>
      </c>
      <c r="F8" s="9">
        <v>12</v>
      </c>
      <c r="G8" s="9">
        <v>39</v>
      </c>
      <c r="H8" s="9">
        <v>12</v>
      </c>
      <c r="I8" s="9">
        <v>34</v>
      </c>
      <c r="J8" s="9">
        <v>12</v>
      </c>
      <c r="K8" s="9">
        <v>36</v>
      </c>
      <c r="L8" s="9">
        <v>10</v>
      </c>
      <c r="M8" s="9">
        <v>37</v>
      </c>
      <c r="N8" s="9">
        <v>10</v>
      </c>
      <c r="O8" s="9">
        <v>35</v>
      </c>
      <c r="P8" s="9">
        <v>10</v>
      </c>
      <c r="Q8" s="9">
        <v>40</v>
      </c>
      <c r="R8" s="9">
        <v>8</v>
      </c>
    </row>
    <row r="9" spans="1:18" ht="15.75">
      <c r="A9" s="4"/>
      <c r="B9" s="8" t="s">
        <v>17</v>
      </c>
      <c r="C9" s="9">
        <v>16</v>
      </c>
      <c r="D9" s="9">
        <v>6</v>
      </c>
      <c r="E9" s="9">
        <v>18</v>
      </c>
      <c r="F9" s="9">
        <v>6</v>
      </c>
      <c r="G9" s="9">
        <v>20</v>
      </c>
      <c r="H9" s="9">
        <v>6</v>
      </c>
      <c r="I9" s="9">
        <v>16</v>
      </c>
      <c r="J9" s="9">
        <v>6</v>
      </c>
      <c r="K9" s="9">
        <v>17</v>
      </c>
      <c r="L9" s="9">
        <v>5</v>
      </c>
      <c r="M9" s="9">
        <v>15</v>
      </c>
      <c r="N9" s="9">
        <v>5</v>
      </c>
      <c r="O9" s="9">
        <v>14</v>
      </c>
      <c r="P9" s="9">
        <v>5</v>
      </c>
      <c r="Q9" s="9">
        <v>17</v>
      </c>
      <c r="R9" s="9">
        <v>4</v>
      </c>
    </row>
    <row r="10" spans="1:18" ht="15.75">
      <c r="A10" s="4"/>
      <c r="B10" s="10" t="s">
        <v>19</v>
      </c>
      <c r="C10" s="9">
        <v>23</v>
      </c>
      <c r="D10" s="9">
        <v>6</v>
      </c>
      <c r="E10" s="9">
        <v>22</v>
      </c>
      <c r="F10" s="9">
        <v>6</v>
      </c>
      <c r="G10" s="9">
        <v>19</v>
      </c>
      <c r="H10" s="9">
        <v>6</v>
      </c>
      <c r="I10" s="9">
        <v>18</v>
      </c>
      <c r="J10" s="9">
        <v>6</v>
      </c>
      <c r="K10" s="9">
        <v>19</v>
      </c>
      <c r="L10" s="9">
        <v>5</v>
      </c>
      <c r="M10" s="9">
        <v>22</v>
      </c>
      <c r="N10" s="9">
        <v>5</v>
      </c>
      <c r="O10" s="9">
        <v>21</v>
      </c>
      <c r="P10" s="9">
        <v>5</v>
      </c>
      <c r="Q10" s="9">
        <v>23</v>
      </c>
      <c r="R10" s="9">
        <v>4</v>
      </c>
    </row>
    <row r="11" spans="1:18" ht="15.75">
      <c r="A11" s="19"/>
      <c r="B11" s="10" t="s">
        <v>20</v>
      </c>
      <c r="C11" s="9">
        <v>10</v>
      </c>
      <c r="D11" s="9"/>
      <c r="E11" s="9">
        <v>10</v>
      </c>
      <c r="F11" s="9"/>
      <c r="G11" s="9">
        <v>10</v>
      </c>
      <c r="H11" s="9"/>
      <c r="I11" s="9">
        <v>10</v>
      </c>
      <c r="J11" s="9"/>
      <c r="K11" s="9">
        <v>9</v>
      </c>
      <c r="L11" s="9"/>
      <c r="M11" s="9">
        <v>10</v>
      </c>
      <c r="N11" s="9"/>
      <c r="O11" s="9">
        <v>9</v>
      </c>
      <c r="P11" s="9"/>
      <c r="Q11" s="9">
        <v>9</v>
      </c>
      <c r="R11" s="9"/>
    </row>
    <row r="12" spans="1:18" ht="15.75">
      <c r="A12" s="4">
        <v>3</v>
      </c>
      <c r="B12" s="11" t="s">
        <v>14</v>
      </c>
      <c r="C12" s="9">
        <v>605</v>
      </c>
      <c r="D12" s="9">
        <v>152</v>
      </c>
      <c r="E12" s="9">
        <v>639</v>
      </c>
      <c r="F12" s="9">
        <v>152</v>
      </c>
      <c r="G12" s="9">
        <v>557</v>
      </c>
      <c r="H12" s="9">
        <v>170</v>
      </c>
      <c r="I12" s="9">
        <v>509</v>
      </c>
      <c r="J12" s="9">
        <v>158</v>
      </c>
      <c r="K12" s="9">
        <v>517</v>
      </c>
      <c r="L12" s="9">
        <v>151</v>
      </c>
      <c r="M12" s="9">
        <v>699</v>
      </c>
      <c r="N12" s="9">
        <v>156</v>
      </c>
      <c r="O12" s="9">
        <v>663</v>
      </c>
      <c r="P12" s="9">
        <v>172</v>
      </c>
      <c r="Q12" s="9">
        <v>752</v>
      </c>
      <c r="R12" s="9">
        <v>145</v>
      </c>
    </row>
    <row r="13" spans="1:18" ht="15.75">
      <c r="A13" s="4"/>
      <c r="B13" s="8" t="s">
        <v>39</v>
      </c>
      <c r="C13" s="9">
        <v>205</v>
      </c>
      <c r="D13" s="9">
        <v>72</v>
      </c>
      <c r="E13" s="9">
        <v>219</v>
      </c>
      <c r="F13" s="9">
        <v>70</v>
      </c>
      <c r="G13" s="9">
        <v>174</v>
      </c>
      <c r="H13" s="9">
        <v>84</v>
      </c>
      <c r="I13" s="9">
        <v>184</v>
      </c>
      <c r="J13" s="9">
        <v>78</v>
      </c>
      <c r="K13" s="9">
        <v>186</v>
      </c>
      <c r="L13" s="9">
        <v>70</v>
      </c>
      <c r="M13" s="9">
        <v>251</v>
      </c>
      <c r="N13" s="9">
        <v>72</v>
      </c>
      <c r="O13" s="9">
        <v>219</v>
      </c>
      <c r="P13" s="9">
        <v>80</v>
      </c>
      <c r="Q13" s="9">
        <v>260</v>
      </c>
      <c r="R13" s="9">
        <v>70</v>
      </c>
    </row>
    <row r="14" spans="1:18" ht="15.75">
      <c r="A14" s="4"/>
      <c r="B14" s="10" t="s">
        <v>21</v>
      </c>
      <c r="C14" s="9">
        <v>400</v>
      </c>
      <c r="D14" s="9">
        <v>80</v>
      </c>
      <c r="E14" s="9">
        <v>420</v>
      </c>
      <c r="F14" s="9">
        <v>82</v>
      </c>
      <c r="G14" s="9">
        <v>383</v>
      </c>
      <c r="H14" s="9">
        <v>86</v>
      </c>
      <c r="I14" s="9">
        <v>325</v>
      </c>
      <c r="J14" s="9">
        <v>80</v>
      </c>
      <c r="K14" s="9">
        <v>331</v>
      </c>
      <c r="L14" s="9">
        <v>81</v>
      </c>
      <c r="M14" s="9">
        <v>448</v>
      </c>
      <c r="N14" s="9">
        <v>84</v>
      </c>
      <c r="O14" s="9">
        <v>444</v>
      </c>
      <c r="P14" s="9">
        <v>92</v>
      </c>
      <c r="Q14" s="9">
        <v>492</v>
      </c>
      <c r="R14" s="9">
        <v>75</v>
      </c>
    </row>
    <row r="15" spans="1:18" ht="15.75">
      <c r="A15" s="19"/>
      <c r="B15" s="10" t="s">
        <v>22</v>
      </c>
      <c r="C15" s="9">
        <v>221</v>
      </c>
      <c r="D15" s="9"/>
      <c r="E15" s="9">
        <v>230</v>
      </c>
      <c r="F15" s="9"/>
      <c r="G15" s="9">
        <v>217</v>
      </c>
      <c r="H15" s="9"/>
      <c r="I15" s="9">
        <v>195</v>
      </c>
      <c r="J15" s="9"/>
      <c r="K15" s="9">
        <v>187</v>
      </c>
      <c r="L15" s="9"/>
      <c r="M15" s="9">
        <v>199</v>
      </c>
      <c r="N15" s="9"/>
      <c r="O15" s="9">
        <v>190</v>
      </c>
      <c r="P15" s="9"/>
      <c r="Q15" s="9">
        <v>178</v>
      </c>
      <c r="R15" s="9"/>
    </row>
    <row r="16" spans="1:18">
      <c r="A16" s="4">
        <v>4</v>
      </c>
      <c r="B16" s="11" t="s">
        <v>15</v>
      </c>
      <c r="C16" s="12">
        <v>98</v>
      </c>
      <c r="D16" s="12"/>
      <c r="E16" s="12">
        <v>99</v>
      </c>
      <c r="F16" s="12"/>
      <c r="G16" s="12">
        <v>101</v>
      </c>
      <c r="H16" s="12"/>
      <c r="I16" s="12">
        <v>103</v>
      </c>
      <c r="J16" s="12"/>
      <c r="K16" s="12">
        <v>102</v>
      </c>
      <c r="L16" s="12"/>
      <c r="M16" s="12">
        <v>100</v>
      </c>
      <c r="N16" s="12"/>
      <c r="O16" s="12">
        <v>99</v>
      </c>
      <c r="P16" s="12"/>
      <c r="Q16" s="13">
        <v>102</v>
      </c>
      <c r="R16" s="13"/>
    </row>
    <row r="17" spans="1:18" ht="15.75">
      <c r="A17" s="4"/>
      <c r="B17" s="8" t="s">
        <v>38</v>
      </c>
      <c r="C17" s="9">
        <v>10</v>
      </c>
      <c r="D17" s="9"/>
      <c r="E17" s="9">
        <v>10</v>
      </c>
      <c r="F17" s="9"/>
      <c r="G17" s="9">
        <v>10</v>
      </c>
      <c r="H17" s="9"/>
      <c r="I17" s="9">
        <v>10</v>
      </c>
      <c r="J17" s="9"/>
      <c r="K17" s="9">
        <v>10</v>
      </c>
      <c r="L17" s="9"/>
      <c r="M17" s="9">
        <v>10</v>
      </c>
      <c r="N17" s="9"/>
      <c r="O17" s="9">
        <v>10</v>
      </c>
      <c r="P17" s="9"/>
      <c r="Q17" s="9">
        <v>9</v>
      </c>
      <c r="R17" s="9"/>
    </row>
    <row r="18" spans="1:18" ht="15.75">
      <c r="A18" s="4"/>
      <c r="B18" s="10" t="s">
        <v>23</v>
      </c>
      <c r="C18" s="14">
        <v>66</v>
      </c>
      <c r="D18" s="14">
        <v>12</v>
      </c>
      <c r="E18" s="14">
        <v>67</v>
      </c>
      <c r="F18" s="14">
        <v>12</v>
      </c>
      <c r="G18" s="14">
        <v>66</v>
      </c>
      <c r="H18" s="14">
        <v>15</v>
      </c>
      <c r="I18" s="14">
        <v>70</v>
      </c>
      <c r="J18" s="14">
        <v>13</v>
      </c>
      <c r="K18" s="14">
        <v>70</v>
      </c>
      <c r="L18" s="14">
        <v>12</v>
      </c>
      <c r="M18" s="14">
        <v>68</v>
      </c>
      <c r="N18" s="14">
        <v>12</v>
      </c>
      <c r="O18" s="14">
        <v>64</v>
      </c>
      <c r="P18" s="14">
        <v>15</v>
      </c>
      <c r="Q18" s="9">
        <v>68</v>
      </c>
      <c r="R18" s="9">
        <v>11</v>
      </c>
    </row>
    <row r="19" spans="1:18" ht="15.75">
      <c r="A19" s="4"/>
      <c r="B19" s="10" t="s">
        <v>24</v>
      </c>
      <c r="C19" s="14">
        <v>24</v>
      </c>
      <c r="D19" s="9">
        <v>6</v>
      </c>
      <c r="E19" s="9">
        <v>24</v>
      </c>
      <c r="F19" s="9">
        <v>6</v>
      </c>
      <c r="G19" s="9">
        <v>24</v>
      </c>
      <c r="H19" s="9">
        <v>7</v>
      </c>
      <c r="I19" s="9">
        <v>24</v>
      </c>
      <c r="J19" s="9">
        <v>6</v>
      </c>
      <c r="K19" s="9">
        <v>25</v>
      </c>
      <c r="L19" s="9">
        <v>6</v>
      </c>
      <c r="M19" s="9">
        <v>24</v>
      </c>
      <c r="N19" s="9">
        <v>6</v>
      </c>
      <c r="O19" s="9">
        <v>23</v>
      </c>
      <c r="P19" s="9">
        <v>7</v>
      </c>
      <c r="Q19" s="9">
        <v>26</v>
      </c>
      <c r="R19" s="9">
        <v>5</v>
      </c>
    </row>
    <row r="20" spans="1:18" ht="15.75">
      <c r="A20" s="4"/>
      <c r="B20" s="10" t="s">
        <v>25</v>
      </c>
      <c r="C20" s="14">
        <v>42</v>
      </c>
      <c r="D20" s="9">
        <v>6</v>
      </c>
      <c r="E20" s="9">
        <v>43</v>
      </c>
      <c r="F20" s="9">
        <v>6</v>
      </c>
      <c r="G20" s="9">
        <v>42</v>
      </c>
      <c r="H20" s="9">
        <v>8</v>
      </c>
      <c r="I20" s="9">
        <v>46</v>
      </c>
      <c r="J20" s="9">
        <v>7</v>
      </c>
      <c r="K20" s="9">
        <v>45</v>
      </c>
      <c r="L20" s="9">
        <v>6</v>
      </c>
      <c r="M20" s="9">
        <v>44</v>
      </c>
      <c r="N20" s="9">
        <v>6</v>
      </c>
      <c r="O20" s="9">
        <v>41</v>
      </c>
      <c r="P20" s="9">
        <v>8</v>
      </c>
      <c r="Q20" s="9">
        <v>42</v>
      </c>
      <c r="R20" s="9">
        <v>6</v>
      </c>
    </row>
    <row r="21" spans="1:18" ht="15.75">
      <c r="A21" s="4"/>
      <c r="B21" s="10" t="s">
        <v>26</v>
      </c>
      <c r="C21" s="14">
        <v>66</v>
      </c>
      <c r="D21" s="14">
        <v>12</v>
      </c>
      <c r="E21" s="14">
        <v>67</v>
      </c>
      <c r="F21" s="14">
        <v>12</v>
      </c>
      <c r="G21" s="14">
        <v>66</v>
      </c>
      <c r="H21" s="14">
        <v>15</v>
      </c>
      <c r="I21" s="14">
        <v>70</v>
      </c>
      <c r="J21" s="14">
        <v>13</v>
      </c>
      <c r="K21" s="14">
        <v>70</v>
      </c>
      <c r="L21" s="14">
        <v>12</v>
      </c>
      <c r="M21" s="14">
        <v>68</v>
      </c>
      <c r="N21" s="14">
        <v>12</v>
      </c>
      <c r="O21" s="14">
        <v>64</v>
      </c>
      <c r="P21" s="14">
        <v>15</v>
      </c>
      <c r="Q21" s="9">
        <v>71</v>
      </c>
      <c r="R21" s="9">
        <v>11</v>
      </c>
    </row>
    <row r="22" spans="1:18" ht="15.75">
      <c r="A22" s="19"/>
      <c r="B22" s="10" t="s">
        <v>27</v>
      </c>
      <c r="C22" s="9">
        <v>10</v>
      </c>
      <c r="D22" s="9"/>
      <c r="E22" s="9">
        <v>10</v>
      </c>
      <c r="F22" s="9"/>
      <c r="G22" s="9">
        <v>10</v>
      </c>
      <c r="H22" s="9"/>
      <c r="I22" s="9">
        <v>10</v>
      </c>
      <c r="J22" s="9"/>
      <c r="K22" s="9">
        <v>10</v>
      </c>
      <c r="L22" s="9"/>
      <c r="M22" s="9">
        <v>10</v>
      </c>
      <c r="N22" s="9"/>
      <c r="O22" s="9">
        <v>10</v>
      </c>
      <c r="P22" s="9"/>
      <c r="Q22" s="9">
        <v>14</v>
      </c>
      <c r="R22" s="9"/>
    </row>
    <row r="23" spans="1:18" ht="15.75">
      <c r="A23" s="4">
        <v>5</v>
      </c>
      <c r="B23" s="11" t="s">
        <v>41</v>
      </c>
      <c r="C23" s="9">
        <v>42</v>
      </c>
      <c r="D23" s="9"/>
      <c r="E23" s="9">
        <v>42</v>
      </c>
      <c r="F23" s="9"/>
      <c r="G23" s="9">
        <v>42</v>
      </c>
      <c r="H23" s="9"/>
      <c r="I23" s="9">
        <v>42</v>
      </c>
      <c r="J23" s="9"/>
      <c r="K23" s="9">
        <v>49</v>
      </c>
      <c r="L23" s="9"/>
      <c r="M23" s="9">
        <v>49</v>
      </c>
      <c r="N23" s="9"/>
      <c r="O23" s="9">
        <v>49</v>
      </c>
      <c r="P23" s="9"/>
      <c r="Q23" s="9">
        <v>41</v>
      </c>
      <c r="R23" s="9"/>
    </row>
    <row r="24" spans="1:18" ht="15.75">
      <c r="A24" s="4"/>
      <c r="B24" s="8" t="s">
        <v>37</v>
      </c>
      <c r="C24" s="9"/>
      <c r="D24" s="9"/>
      <c r="E24" s="9"/>
      <c r="F24" s="9"/>
      <c r="G24" s="9"/>
      <c r="H24" s="9"/>
      <c r="I24" s="9"/>
      <c r="J24" s="9"/>
      <c r="K24" s="9">
        <v>11</v>
      </c>
      <c r="L24" s="9"/>
      <c r="M24" s="9">
        <v>11</v>
      </c>
      <c r="N24" s="9"/>
      <c r="O24" s="9">
        <v>11</v>
      </c>
      <c r="P24" s="9"/>
      <c r="Q24" s="9">
        <v>11</v>
      </c>
      <c r="R24" s="9"/>
    </row>
    <row r="25" spans="1:18" ht="15.75">
      <c r="A25" s="4"/>
      <c r="B25" s="10" t="s">
        <v>35</v>
      </c>
      <c r="C25" s="9">
        <v>30</v>
      </c>
      <c r="D25" s="9"/>
      <c r="E25" s="9">
        <v>30</v>
      </c>
      <c r="F25" s="9"/>
      <c r="G25" s="9">
        <v>30</v>
      </c>
      <c r="H25" s="9"/>
      <c r="I25" s="9">
        <v>30</v>
      </c>
      <c r="J25" s="9"/>
      <c r="K25" s="9">
        <v>28</v>
      </c>
      <c r="L25" s="9"/>
      <c r="M25" s="9">
        <v>28</v>
      </c>
      <c r="N25" s="9"/>
      <c r="O25" s="9">
        <v>28</v>
      </c>
      <c r="P25" s="9"/>
      <c r="Q25" s="9">
        <v>22</v>
      </c>
      <c r="R25" s="9"/>
    </row>
    <row r="26" spans="1:18" ht="15.75">
      <c r="A26" s="4"/>
      <c r="B26" s="10" t="s">
        <v>36</v>
      </c>
      <c r="C26" s="9"/>
      <c r="D26" s="9">
        <v>12</v>
      </c>
      <c r="E26" s="9"/>
      <c r="F26" s="9">
        <v>12</v>
      </c>
      <c r="G26" s="9"/>
      <c r="H26" s="9">
        <v>12</v>
      </c>
      <c r="I26" s="9"/>
      <c r="J26" s="9">
        <v>12</v>
      </c>
      <c r="K26" s="9"/>
      <c r="L26" s="9">
        <v>10</v>
      </c>
      <c r="M26" s="9"/>
      <c r="N26" s="9">
        <v>10</v>
      </c>
      <c r="O26" s="9"/>
      <c r="P26" s="9">
        <v>10</v>
      </c>
      <c r="Q26" s="9"/>
      <c r="R26" s="9">
        <v>8</v>
      </c>
    </row>
    <row r="27" spans="1:18" ht="15.75">
      <c r="A27" s="19"/>
      <c r="B27" s="8" t="s">
        <v>28</v>
      </c>
      <c r="C27" s="9">
        <v>5</v>
      </c>
      <c r="D27" s="9"/>
      <c r="E27" s="9">
        <v>5</v>
      </c>
      <c r="F27" s="9"/>
      <c r="G27" s="9">
        <v>5</v>
      </c>
      <c r="H27" s="9"/>
      <c r="I27" s="9">
        <v>5</v>
      </c>
      <c r="J27" s="9"/>
      <c r="K27" s="9">
        <v>5</v>
      </c>
      <c r="L27" s="9"/>
      <c r="M27" s="9">
        <v>5</v>
      </c>
      <c r="N27" s="9"/>
      <c r="O27" s="9">
        <v>5</v>
      </c>
      <c r="P27" s="9"/>
      <c r="Q27" s="9">
        <v>5</v>
      </c>
      <c r="R27" s="9"/>
    </row>
    <row r="28" spans="1:18" ht="15.75">
      <c r="A28" s="4">
        <v>6</v>
      </c>
      <c r="B28" s="11" t="s">
        <v>42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ht="15.75">
      <c r="A29" s="4"/>
      <c r="B29" s="15" t="s">
        <v>29</v>
      </c>
      <c r="C29" s="16">
        <v>15.5</v>
      </c>
      <c r="D29" s="16">
        <v>12.7</v>
      </c>
      <c r="E29" s="16">
        <v>16</v>
      </c>
      <c r="F29" s="16">
        <v>12.7</v>
      </c>
      <c r="G29" s="16">
        <v>14.3</v>
      </c>
      <c r="H29" s="16">
        <v>14.2</v>
      </c>
      <c r="I29" s="16">
        <v>15</v>
      </c>
      <c r="J29" s="16">
        <v>13.2</v>
      </c>
      <c r="K29" s="16">
        <v>14.4</v>
      </c>
      <c r="L29" s="16">
        <v>15.1</v>
      </c>
      <c r="M29" s="16">
        <v>18.899999999999999</v>
      </c>
      <c r="N29" s="16">
        <v>15.6</v>
      </c>
      <c r="O29" s="16">
        <v>18.899999999999999</v>
      </c>
      <c r="P29" s="16">
        <v>17.2</v>
      </c>
      <c r="Q29" s="16">
        <v>18.8</v>
      </c>
      <c r="R29" s="16">
        <v>18.100000000000001</v>
      </c>
    </row>
    <row r="30" spans="1:18" ht="15.75">
      <c r="A30" s="4"/>
      <c r="B30" s="15" t="s">
        <v>30</v>
      </c>
      <c r="C30" s="16">
        <v>1.7</v>
      </c>
      <c r="D30" s="16">
        <v>1</v>
      </c>
      <c r="E30" s="16">
        <v>1.7</v>
      </c>
      <c r="F30" s="16">
        <v>1</v>
      </c>
      <c r="G30" s="16">
        <v>1.7</v>
      </c>
      <c r="H30" s="16">
        <v>1.3</v>
      </c>
      <c r="I30" s="16">
        <v>2.1</v>
      </c>
      <c r="J30" s="16">
        <v>1.1000000000000001</v>
      </c>
      <c r="K30" s="16">
        <v>1.9</v>
      </c>
      <c r="L30" s="16">
        <v>1.2</v>
      </c>
      <c r="M30" s="16">
        <v>1.8</v>
      </c>
      <c r="N30" s="16">
        <v>1.2</v>
      </c>
      <c r="O30" s="16">
        <v>1.8</v>
      </c>
      <c r="P30" s="16">
        <v>1.5</v>
      </c>
      <c r="Q30" s="16">
        <v>1.7</v>
      </c>
      <c r="R30" s="16">
        <v>1.4</v>
      </c>
    </row>
    <row r="31" spans="1:18" ht="15.75">
      <c r="A31" s="4"/>
      <c r="B31" s="15" t="s">
        <v>31</v>
      </c>
      <c r="C31" s="16">
        <v>98.6</v>
      </c>
      <c r="D31" s="16">
        <v>93.5</v>
      </c>
      <c r="E31" s="16">
        <v>98.3</v>
      </c>
      <c r="F31" s="16">
        <v>94.5</v>
      </c>
      <c r="G31" s="16">
        <v>98.8</v>
      </c>
      <c r="H31" s="16">
        <v>94.5</v>
      </c>
      <c r="I31" s="16">
        <v>98.6</v>
      </c>
      <c r="J31" s="16">
        <v>95</v>
      </c>
      <c r="K31" s="16">
        <v>98.2</v>
      </c>
      <c r="L31" s="16">
        <v>94.5</v>
      </c>
      <c r="M31" s="16">
        <v>97.7</v>
      </c>
      <c r="N31" s="16">
        <v>94.5</v>
      </c>
      <c r="O31" s="16">
        <v>98.3</v>
      </c>
      <c r="P31" s="16">
        <v>95</v>
      </c>
      <c r="Q31" s="16">
        <v>98.4</v>
      </c>
      <c r="R31" s="16">
        <v>95.1</v>
      </c>
    </row>
    <row r="32" spans="1:18" ht="15.75">
      <c r="A32" s="4"/>
      <c r="B32" s="15" t="s">
        <v>32</v>
      </c>
      <c r="C32" s="9">
        <v>97.4</v>
      </c>
      <c r="D32" s="9">
        <v>92</v>
      </c>
      <c r="E32" s="9">
        <v>97</v>
      </c>
      <c r="F32" s="9">
        <v>93</v>
      </c>
      <c r="G32" s="9">
        <v>97.5</v>
      </c>
      <c r="H32" s="9">
        <v>93.5</v>
      </c>
      <c r="I32" s="9">
        <v>97.3</v>
      </c>
      <c r="J32" s="9">
        <v>94</v>
      </c>
      <c r="K32" s="9">
        <v>96.5</v>
      </c>
      <c r="L32" s="9">
        <v>93.5</v>
      </c>
      <c r="M32" s="9">
        <v>97</v>
      </c>
      <c r="N32" s="9">
        <v>94</v>
      </c>
      <c r="O32" s="9">
        <v>97.8</v>
      </c>
      <c r="P32" s="9">
        <v>94.6</v>
      </c>
      <c r="Q32" s="9">
        <v>98.2</v>
      </c>
      <c r="R32" s="9">
        <v>94</v>
      </c>
    </row>
    <row r="33" spans="1:18" ht="15.75">
      <c r="A33" s="4"/>
      <c r="B33" s="15" t="s">
        <v>33</v>
      </c>
      <c r="C33" s="9">
        <v>98.5</v>
      </c>
      <c r="D33" s="9">
        <v>95</v>
      </c>
      <c r="E33" s="9">
        <v>98</v>
      </c>
      <c r="F33" s="9">
        <v>96</v>
      </c>
      <c r="G33" s="9">
        <v>98.8</v>
      </c>
      <c r="H33" s="9">
        <v>95.5</v>
      </c>
      <c r="I33" s="9">
        <v>98.4</v>
      </c>
      <c r="J33" s="9">
        <v>96</v>
      </c>
      <c r="K33" s="9">
        <v>98</v>
      </c>
      <c r="L33" s="9">
        <v>95.4</v>
      </c>
      <c r="M33" s="9">
        <v>98.2</v>
      </c>
      <c r="N33" s="9">
        <v>95</v>
      </c>
      <c r="O33" s="9">
        <v>98.5</v>
      </c>
      <c r="P33" s="9">
        <v>95.4</v>
      </c>
      <c r="Q33" s="9">
        <v>98.6</v>
      </c>
      <c r="R33" s="9">
        <v>96.2</v>
      </c>
    </row>
    <row r="34" spans="1:18" ht="15.75">
      <c r="A34" s="5"/>
      <c r="B34" s="17" t="s">
        <v>34</v>
      </c>
      <c r="C34" s="18">
        <v>100</v>
      </c>
      <c r="D34" s="18"/>
      <c r="E34" s="18">
        <v>100</v>
      </c>
      <c r="F34" s="18"/>
      <c r="G34" s="18">
        <v>100</v>
      </c>
      <c r="H34" s="18"/>
      <c r="I34" s="18">
        <v>100</v>
      </c>
      <c r="J34" s="18"/>
      <c r="K34" s="18">
        <v>100</v>
      </c>
      <c r="L34" s="18"/>
      <c r="M34" s="18">
        <v>98</v>
      </c>
      <c r="N34" s="18"/>
      <c r="O34" s="18">
        <v>98.6</v>
      </c>
      <c r="P34" s="18"/>
      <c r="Q34" s="18">
        <v>98.4</v>
      </c>
      <c r="R34" s="18"/>
    </row>
  </sheetData>
  <mergeCells count="10">
    <mergeCell ref="A2:A3"/>
    <mergeCell ref="B2:B3"/>
    <mergeCell ref="K2:L2"/>
    <mergeCell ref="M2:N2"/>
    <mergeCell ref="O2:P2"/>
    <mergeCell ref="Q2:R2"/>
    <mergeCell ref="C2:D2"/>
    <mergeCell ref="E2:F2"/>
    <mergeCell ref="G2:H2"/>
    <mergeCell ref="I2:J2"/>
  </mergeCells>
  <phoneticPr fontId="0" type="noConversion"/>
  <printOptions horizontalCentered="1"/>
  <pageMargins left="0.25" right="0.25" top="0.32" bottom="0.26" header="0.28999999999999998" footer="0.2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34"/>
  <sheetViews>
    <sheetView topLeftCell="A19" workbookViewId="0">
      <selection activeCell="C4" sqref="C4:R34"/>
    </sheetView>
  </sheetViews>
  <sheetFormatPr defaultRowHeight="15"/>
  <cols>
    <col min="1" max="1" width="2.75" customWidth="1"/>
    <col min="2" max="2" width="30.625" customWidth="1"/>
    <col min="3" max="3" width="6.875" customWidth="1"/>
    <col min="4" max="4" width="5.375" customWidth="1"/>
    <col min="5" max="5" width="7.375" customWidth="1"/>
    <col min="6" max="6" width="5.375" customWidth="1"/>
    <col min="7" max="7" width="7.375" customWidth="1"/>
    <col min="8" max="8" width="5.375" customWidth="1"/>
    <col min="9" max="9" width="7.25" customWidth="1"/>
    <col min="10" max="10" width="5.375" customWidth="1"/>
    <col min="11" max="11" width="7.375" customWidth="1"/>
    <col min="12" max="12" width="5.375" customWidth="1"/>
    <col min="13" max="13" width="6.25" customWidth="1"/>
    <col min="14" max="14" width="6.375" customWidth="1"/>
    <col min="15" max="15" width="7" customWidth="1"/>
    <col min="16" max="16" width="5.375" customWidth="1"/>
    <col min="17" max="17" width="7" customWidth="1"/>
    <col min="18" max="18" width="5.375" customWidth="1"/>
  </cols>
  <sheetData>
    <row r="1" spans="1:18" ht="20.25">
      <c r="C1" s="1" t="s">
        <v>0</v>
      </c>
      <c r="D1" s="1"/>
      <c r="E1" s="1"/>
      <c r="F1" s="1"/>
      <c r="G1" s="1"/>
      <c r="H1" s="1"/>
    </row>
    <row r="2" spans="1:18" ht="15.75">
      <c r="A2" s="722" t="s">
        <v>1</v>
      </c>
      <c r="B2" s="724" t="s">
        <v>2</v>
      </c>
      <c r="C2" s="720" t="s">
        <v>5</v>
      </c>
      <c r="D2" s="721"/>
      <c r="E2" s="720" t="s">
        <v>6</v>
      </c>
      <c r="F2" s="721"/>
      <c r="G2" s="720" t="s">
        <v>7</v>
      </c>
      <c r="H2" s="721"/>
      <c r="I2" s="720" t="s">
        <v>8</v>
      </c>
      <c r="J2" s="721"/>
      <c r="K2" s="720" t="s">
        <v>9</v>
      </c>
      <c r="L2" s="721"/>
      <c r="M2" s="720" t="s">
        <v>10</v>
      </c>
      <c r="N2" s="721"/>
      <c r="O2" s="720" t="s">
        <v>11</v>
      </c>
      <c r="P2" s="721"/>
      <c r="Q2" s="720" t="s">
        <v>12</v>
      </c>
      <c r="R2" s="721"/>
    </row>
    <row r="3" spans="1:18" ht="15.75">
      <c r="A3" s="723"/>
      <c r="B3" s="725"/>
      <c r="C3" s="2" t="s">
        <v>3</v>
      </c>
      <c r="D3" s="2" t="s">
        <v>4</v>
      </c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</row>
    <row r="4" spans="1:18" ht="15.75">
      <c r="A4" s="3">
        <v>1</v>
      </c>
      <c r="B4" s="6" t="s">
        <v>40</v>
      </c>
      <c r="C4" s="7">
        <f>SUM(C5:C6)</f>
        <v>0</v>
      </c>
      <c r="D4" s="7">
        <f t="shared" ref="D4:J4" si="0">SUM(D5:D6)</f>
        <v>0</v>
      </c>
      <c r="E4" s="7">
        <f t="shared" si="0"/>
        <v>0</v>
      </c>
      <c r="F4" s="7">
        <f t="shared" si="0"/>
        <v>0</v>
      </c>
      <c r="G4" s="7">
        <f t="shared" si="0"/>
        <v>0</v>
      </c>
      <c r="H4" s="7">
        <f t="shared" si="0"/>
        <v>0</v>
      </c>
      <c r="I4" s="7">
        <f t="shared" si="0"/>
        <v>0</v>
      </c>
      <c r="J4" s="7">
        <f t="shared" si="0"/>
        <v>0</v>
      </c>
      <c r="K4" s="7">
        <v>2</v>
      </c>
      <c r="L4" s="7">
        <v>0</v>
      </c>
      <c r="M4" s="7">
        <v>2</v>
      </c>
      <c r="N4" s="7">
        <v>15</v>
      </c>
      <c r="O4" s="7">
        <v>15</v>
      </c>
      <c r="P4" s="7">
        <v>15</v>
      </c>
      <c r="Q4" s="7">
        <v>15</v>
      </c>
      <c r="R4" s="7">
        <v>0</v>
      </c>
    </row>
    <row r="5" spans="1:18" ht="15.75">
      <c r="A5" s="4"/>
      <c r="B5" s="8" t="s">
        <v>43</v>
      </c>
      <c r="C5" s="9"/>
      <c r="D5" s="9"/>
      <c r="E5" s="9"/>
      <c r="F5" s="9"/>
      <c r="G5" s="9"/>
      <c r="H5" s="9"/>
      <c r="I5" s="9"/>
      <c r="J5" s="9"/>
      <c r="K5" s="9">
        <v>2</v>
      </c>
      <c r="L5" s="9">
        <v>0</v>
      </c>
      <c r="M5" s="9">
        <v>2</v>
      </c>
      <c r="N5" s="9">
        <v>0</v>
      </c>
      <c r="O5" s="9">
        <v>15</v>
      </c>
      <c r="P5" s="9">
        <v>0</v>
      </c>
      <c r="Q5" s="9">
        <v>15</v>
      </c>
      <c r="R5" s="9">
        <v>0</v>
      </c>
    </row>
    <row r="6" spans="1:18" ht="15.75">
      <c r="A6" s="4"/>
      <c r="B6" s="10" t="s">
        <v>16</v>
      </c>
      <c r="C6" s="9"/>
      <c r="D6" s="9"/>
      <c r="E6" s="9"/>
      <c r="F6" s="9"/>
      <c r="G6" s="9"/>
      <c r="H6" s="9"/>
      <c r="I6" s="9"/>
      <c r="J6" s="9"/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</row>
    <row r="7" spans="1:18" ht="15.75">
      <c r="A7" s="19"/>
      <c r="B7" s="10" t="s">
        <v>18</v>
      </c>
      <c r="C7" s="9"/>
      <c r="D7" s="9"/>
      <c r="E7" s="9"/>
      <c r="F7" s="9"/>
      <c r="G7" s="9"/>
      <c r="H7" s="9"/>
      <c r="I7" s="9"/>
      <c r="J7" s="9"/>
      <c r="K7" s="9">
        <v>0</v>
      </c>
      <c r="L7" s="9">
        <v>0</v>
      </c>
      <c r="M7" s="9">
        <v>0</v>
      </c>
      <c r="N7" s="9">
        <v>0</v>
      </c>
      <c r="O7" s="9">
        <v>1</v>
      </c>
      <c r="P7" s="9">
        <v>0</v>
      </c>
      <c r="Q7" s="9">
        <v>1</v>
      </c>
      <c r="R7" s="9">
        <v>0</v>
      </c>
    </row>
    <row r="8" spans="1:18" ht="15.75">
      <c r="A8" s="4">
        <v>2</v>
      </c>
      <c r="B8" s="11" t="s">
        <v>13</v>
      </c>
      <c r="C8" s="9">
        <f>SUM(C9:C10)</f>
        <v>0</v>
      </c>
      <c r="D8" s="9">
        <f t="shared" ref="D8:J8" si="1">SUM(D9:D10)</f>
        <v>0</v>
      </c>
      <c r="E8" s="9">
        <f t="shared" si="1"/>
        <v>0</v>
      </c>
      <c r="F8" s="9">
        <f t="shared" si="1"/>
        <v>0</v>
      </c>
      <c r="G8" s="9">
        <f t="shared" si="1"/>
        <v>0</v>
      </c>
      <c r="H8" s="9">
        <f t="shared" si="1"/>
        <v>0</v>
      </c>
      <c r="I8" s="9">
        <f t="shared" si="1"/>
        <v>0</v>
      </c>
      <c r="J8" s="9">
        <f t="shared" si="1"/>
        <v>0</v>
      </c>
      <c r="K8" s="9">
        <v>26</v>
      </c>
      <c r="L8" s="9">
        <v>37</v>
      </c>
      <c r="M8" s="9">
        <v>34</v>
      </c>
      <c r="N8" s="9">
        <v>67</v>
      </c>
      <c r="O8" s="9">
        <v>41</v>
      </c>
      <c r="P8" s="9">
        <v>131</v>
      </c>
      <c r="Q8" s="9">
        <v>46</v>
      </c>
      <c r="R8" s="9">
        <v>146</v>
      </c>
    </row>
    <row r="9" spans="1:18" ht="15.75">
      <c r="A9" s="4"/>
      <c r="B9" s="8" t="s">
        <v>17</v>
      </c>
      <c r="C9" s="9"/>
      <c r="D9" s="9"/>
      <c r="E9" s="9"/>
      <c r="F9" s="9"/>
      <c r="G9" s="9"/>
      <c r="H9" s="9"/>
      <c r="I9" s="9"/>
      <c r="J9" s="9"/>
      <c r="K9" s="9">
        <v>5</v>
      </c>
      <c r="L9" s="9">
        <v>2</v>
      </c>
      <c r="M9" s="9">
        <v>4</v>
      </c>
      <c r="N9" s="9">
        <v>2</v>
      </c>
      <c r="O9" s="9">
        <v>4</v>
      </c>
      <c r="P9" s="9">
        <v>2</v>
      </c>
      <c r="Q9" s="9">
        <v>8</v>
      </c>
      <c r="R9" s="9">
        <v>2</v>
      </c>
    </row>
    <row r="10" spans="1:18" ht="15.75">
      <c r="A10" s="4"/>
      <c r="B10" s="10" t="s">
        <v>19</v>
      </c>
      <c r="C10" s="9"/>
      <c r="D10" s="9"/>
      <c r="E10" s="9"/>
      <c r="F10" s="9"/>
      <c r="G10" s="9"/>
      <c r="H10" s="9"/>
      <c r="I10" s="9"/>
      <c r="J10" s="9"/>
      <c r="K10" s="9">
        <v>17</v>
      </c>
      <c r="L10" s="9">
        <v>33</v>
      </c>
      <c r="M10" s="9">
        <v>23</v>
      </c>
      <c r="N10" s="9">
        <v>62</v>
      </c>
      <c r="O10" s="9">
        <v>28</v>
      </c>
      <c r="P10" s="9">
        <v>126</v>
      </c>
      <c r="Q10" s="9">
        <v>25</v>
      </c>
      <c r="R10" s="9">
        <v>134</v>
      </c>
    </row>
    <row r="11" spans="1:18" ht="15.75">
      <c r="A11" s="19"/>
      <c r="B11" s="10" t="s">
        <v>20</v>
      </c>
      <c r="C11" s="9"/>
      <c r="D11" s="9"/>
      <c r="E11" s="9"/>
      <c r="F11" s="9"/>
      <c r="G11" s="9"/>
      <c r="H11" s="9"/>
      <c r="I11" s="9"/>
      <c r="J11" s="9"/>
      <c r="K11" s="9">
        <v>4</v>
      </c>
      <c r="L11" s="9">
        <v>2</v>
      </c>
      <c r="M11" s="9">
        <v>7</v>
      </c>
      <c r="N11" s="9">
        <v>3</v>
      </c>
      <c r="O11" s="9">
        <v>9</v>
      </c>
      <c r="P11" s="9">
        <v>3</v>
      </c>
      <c r="Q11" s="9">
        <v>13</v>
      </c>
      <c r="R11" s="9">
        <v>10</v>
      </c>
    </row>
    <row r="12" spans="1:18" ht="15.75">
      <c r="A12" s="4">
        <v>3</v>
      </c>
      <c r="B12" s="11" t="s">
        <v>14</v>
      </c>
      <c r="C12" s="9">
        <f>SUM(C13:C14)</f>
        <v>0</v>
      </c>
      <c r="D12" s="9">
        <f t="shared" ref="D12:J12" si="2">SUM(D13:D14)</f>
        <v>0</v>
      </c>
      <c r="E12" s="9">
        <f t="shared" si="2"/>
        <v>0</v>
      </c>
      <c r="F12" s="9">
        <f t="shared" si="2"/>
        <v>0</v>
      </c>
      <c r="G12" s="9">
        <f t="shared" si="2"/>
        <v>0</v>
      </c>
      <c r="H12" s="9">
        <f t="shared" si="2"/>
        <v>0</v>
      </c>
      <c r="I12" s="9">
        <f t="shared" si="2"/>
        <v>0</v>
      </c>
      <c r="J12" s="9">
        <f t="shared" si="2"/>
        <v>0</v>
      </c>
      <c r="K12" s="9">
        <v>378</v>
      </c>
      <c r="L12" s="9">
        <v>972</v>
      </c>
      <c r="M12" s="9">
        <v>512</v>
      </c>
      <c r="N12" s="9">
        <v>1517</v>
      </c>
      <c r="O12" s="9">
        <v>606</v>
      </c>
      <c r="P12" s="9">
        <v>2555</v>
      </c>
      <c r="Q12" s="9">
        <v>864</v>
      </c>
      <c r="R12" s="9">
        <v>2648</v>
      </c>
    </row>
    <row r="13" spans="1:18" ht="15.75">
      <c r="A13" s="4"/>
      <c r="B13" s="8" t="s">
        <v>39</v>
      </c>
      <c r="C13" s="9"/>
      <c r="D13" s="9"/>
      <c r="E13" s="9"/>
      <c r="F13" s="9"/>
      <c r="G13" s="9"/>
      <c r="H13" s="9"/>
      <c r="I13" s="9"/>
      <c r="J13" s="9"/>
      <c r="K13" s="9">
        <v>72</v>
      </c>
      <c r="L13" s="9">
        <v>20</v>
      </c>
      <c r="M13" s="9">
        <v>75</v>
      </c>
      <c r="N13" s="9">
        <v>25</v>
      </c>
      <c r="O13" s="9">
        <v>71</v>
      </c>
      <c r="P13" s="9">
        <v>28</v>
      </c>
      <c r="Q13" s="9">
        <v>104</v>
      </c>
      <c r="R13" s="9">
        <v>25</v>
      </c>
    </row>
    <row r="14" spans="1:18" ht="15.75">
      <c r="A14" s="4"/>
      <c r="B14" s="10" t="s">
        <v>21</v>
      </c>
      <c r="C14" s="9"/>
      <c r="D14" s="9"/>
      <c r="E14" s="9"/>
      <c r="F14" s="9"/>
      <c r="G14" s="9"/>
      <c r="H14" s="9"/>
      <c r="I14" s="9"/>
      <c r="J14" s="9"/>
      <c r="K14" s="9">
        <v>306</v>
      </c>
      <c r="L14" s="9">
        <v>952</v>
      </c>
      <c r="M14" s="9">
        <v>437</v>
      </c>
      <c r="N14" s="9">
        <v>1492</v>
      </c>
      <c r="O14" s="9">
        <v>535</v>
      </c>
      <c r="P14" s="9">
        <v>2527</v>
      </c>
      <c r="Q14" s="9">
        <v>760</v>
      </c>
      <c r="R14" s="9">
        <v>2623</v>
      </c>
    </row>
    <row r="15" spans="1:18" ht="15.75">
      <c r="A15" s="19"/>
      <c r="B15" s="10" t="s">
        <v>22</v>
      </c>
      <c r="C15" s="9"/>
      <c r="D15" s="9"/>
      <c r="E15" s="9"/>
      <c r="F15" s="9"/>
      <c r="G15" s="9"/>
      <c r="H15" s="9"/>
      <c r="I15" s="9"/>
      <c r="J15" s="9"/>
      <c r="K15" s="9">
        <v>80</v>
      </c>
      <c r="L15" s="9">
        <v>595</v>
      </c>
      <c r="M15" s="9">
        <v>138</v>
      </c>
      <c r="N15" s="9">
        <v>760</v>
      </c>
      <c r="O15" s="9">
        <v>186</v>
      </c>
      <c r="P15" s="9">
        <v>849</v>
      </c>
      <c r="Q15" s="9">
        <v>1230</v>
      </c>
      <c r="R15" s="9">
        <v>0</v>
      </c>
    </row>
    <row r="16" spans="1:18">
      <c r="A16" s="4">
        <v>4</v>
      </c>
      <c r="B16" s="11" t="s">
        <v>15</v>
      </c>
      <c r="C16" s="12">
        <f>C17+C18+C22</f>
        <v>0</v>
      </c>
      <c r="D16" s="12">
        <f t="shared" ref="D16:J16" si="3">D17+D18+D22</f>
        <v>0</v>
      </c>
      <c r="E16" s="12">
        <f t="shared" si="3"/>
        <v>0</v>
      </c>
      <c r="F16" s="12">
        <f t="shared" si="3"/>
        <v>0</v>
      </c>
      <c r="G16" s="12">
        <f t="shared" si="3"/>
        <v>0</v>
      </c>
      <c r="H16" s="12">
        <f t="shared" si="3"/>
        <v>0</v>
      </c>
      <c r="I16" s="12">
        <f t="shared" si="3"/>
        <v>0</v>
      </c>
      <c r="J16" s="12">
        <f t="shared" si="3"/>
        <v>0</v>
      </c>
      <c r="K16" s="12">
        <v>39</v>
      </c>
      <c r="L16" s="12">
        <v>38</v>
      </c>
      <c r="M16" s="12">
        <v>43</v>
      </c>
      <c r="N16" s="12">
        <v>67</v>
      </c>
      <c r="O16" s="12">
        <v>77</v>
      </c>
      <c r="P16" s="12">
        <v>136</v>
      </c>
      <c r="Q16" s="12">
        <v>91</v>
      </c>
      <c r="R16" s="12">
        <v>156</v>
      </c>
    </row>
    <row r="17" spans="1:18" ht="15.75">
      <c r="A17" s="4"/>
      <c r="B17" s="8" t="s">
        <v>38</v>
      </c>
      <c r="C17" s="9"/>
      <c r="D17" s="9"/>
      <c r="E17" s="9"/>
      <c r="F17" s="9"/>
      <c r="G17" s="9"/>
      <c r="H17" s="9"/>
      <c r="I17" s="9"/>
      <c r="J17" s="9"/>
      <c r="K17" s="9">
        <v>5</v>
      </c>
      <c r="L17" s="9">
        <v>0</v>
      </c>
      <c r="M17" s="9">
        <v>3</v>
      </c>
      <c r="N17" s="9">
        <v>0</v>
      </c>
      <c r="O17" s="9">
        <v>12</v>
      </c>
      <c r="P17" s="9">
        <v>0</v>
      </c>
      <c r="Q17" s="9">
        <v>20</v>
      </c>
      <c r="R17" s="9">
        <v>0</v>
      </c>
    </row>
    <row r="18" spans="1:18" ht="15.75">
      <c r="A18" s="4"/>
      <c r="B18" s="10" t="s">
        <v>23</v>
      </c>
      <c r="C18" s="14"/>
      <c r="D18" s="14"/>
      <c r="E18" s="14"/>
      <c r="F18" s="14"/>
      <c r="G18" s="14"/>
      <c r="H18" s="14"/>
      <c r="I18" s="14"/>
      <c r="J18" s="14"/>
      <c r="K18" s="14">
        <v>30</v>
      </c>
      <c r="L18" s="14">
        <v>38</v>
      </c>
      <c r="M18" s="14">
        <v>34</v>
      </c>
      <c r="N18" s="14">
        <v>67</v>
      </c>
      <c r="O18" s="14">
        <v>53</v>
      </c>
      <c r="P18" s="14">
        <v>136</v>
      </c>
      <c r="Q18" s="9">
        <v>61</v>
      </c>
      <c r="R18" s="9">
        <v>156</v>
      </c>
    </row>
    <row r="19" spans="1:18" ht="15.75">
      <c r="A19" s="4"/>
      <c r="B19" s="10" t="s">
        <v>24</v>
      </c>
      <c r="C19" s="14"/>
      <c r="D19" s="9"/>
      <c r="E19" s="9"/>
      <c r="F19" s="9"/>
      <c r="G19" s="9"/>
      <c r="H19" s="9"/>
      <c r="I19" s="9"/>
      <c r="J19" s="9"/>
      <c r="K19" s="9">
        <v>5</v>
      </c>
      <c r="L19" s="9">
        <v>2</v>
      </c>
      <c r="M19" s="9">
        <v>6</v>
      </c>
      <c r="N19" s="9">
        <v>3</v>
      </c>
      <c r="O19" s="9">
        <v>8</v>
      </c>
      <c r="P19" s="9">
        <v>2</v>
      </c>
      <c r="Q19" s="9">
        <v>10</v>
      </c>
      <c r="R19" s="9">
        <v>2</v>
      </c>
    </row>
    <row r="20" spans="1:18" ht="15.75">
      <c r="A20" s="4"/>
      <c r="B20" s="10" t="s">
        <v>25</v>
      </c>
      <c r="C20" s="14"/>
      <c r="D20" s="9"/>
      <c r="E20" s="9"/>
      <c r="F20" s="9"/>
      <c r="G20" s="9"/>
      <c r="H20" s="9"/>
      <c r="I20" s="9"/>
      <c r="J20" s="9"/>
      <c r="K20" s="9">
        <v>25</v>
      </c>
      <c r="L20" s="9">
        <v>38</v>
      </c>
      <c r="M20" s="9">
        <v>28</v>
      </c>
      <c r="N20" s="9">
        <v>64</v>
      </c>
      <c r="O20" s="9">
        <v>45</v>
      </c>
      <c r="P20" s="9">
        <v>137</v>
      </c>
      <c r="Q20" s="9">
        <v>61</v>
      </c>
      <c r="R20" s="9">
        <v>144</v>
      </c>
    </row>
    <row r="21" spans="1:18" ht="15.75">
      <c r="A21" s="4"/>
      <c r="B21" s="10" t="s">
        <v>26</v>
      </c>
      <c r="C21" s="14"/>
      <c r="D21" s="14"/>
      <c r="E21" s="14"/>
      <c r="F21" s="14"/>
      <c r="G21" s="14"/>
      <c r="H21" s="14"/>
      <c r="I21" s="14"/>
      <c r="J21" s="14"/>
      <c r="K21" s="14">
        <v>30</v>
      </c>
      <c r="L21" s="14">
        <v>38</v>
      </c>
      <c r="M21" s="14">
        <v>28</v>
      </c>
      <c r="N21" s="14">
        <v>62</v>
      </c>
      <c r="O21" s="14">
        <v>53</v>
      </c>
      <c r="P21" s="14">
        <v>130</v>
      </c>
      <c r="Q21" s="9">
        <v>81</v>
      </c>
      <c r="R21" s="9">
        <v>136</v>
      </c>
    </row>
    <row r="22" spans="1:18" ht="15.75">
      <c r="A22" s="19"/>
      <c r="B22" s="10" t="s">
        <v>27</v>
      </c>
      <c r="C22" s="9"/>
      <c r="D22" s="9"/>
      <c r="E22" s="9"/>
      <c r="F22" s="9"/>
      <c r="G22" s="9"/>
      <c r="H22" s="9"/>
      <c r="I22" s="9"/>
      <c r="J22" s="9"/>
      <c r="K22" s="9">
        <v>4</v>
      </c>
      <c r="L22" s="9">
        <v>0</v>
      </c>
      <c r="M22" s="9">
        <v>6</v>
      </c>
      <c r="N22" s="9">
        <v>0</v>
      </c>
      <c r="O22" s="9">
        <v>12</v>
      </c>
      <c r="P22" s="9">
        <v>0</v>
      </c>
      <c r="Q22" s="9">
        <v>10</v>
      </c>
      <c r="R22" s="9">
        <v>0</v>
      </c>
    </row>
    <row r="23" spans="1:18" ht="15.75">
      <c r="A23" s="4">
        <v>5</v>
      </c>
      <c r="B23" s="11" t="s">
        <v>41</v>
      </c>
      <c r="C23" s="9">
        <f>SUM(C24:C26)</f>
        <v>0</v>
      </c>
      <c r="D23" s="9">
        <f t="shared" ref="D23:J23" si="4">SUM(D24:D26)</f>
        <v>0</v>
      </c>
      <c r="E23" s="9">
        <f t="shared" si="4"/>
        <v>0</v>
      </c>
      <c r="F23" s="9">
        <f t="shared" si="4"/>
        <v>0</v>
      </c>
      <c r="G23" s="9">
        <f t="shared" si="4"/>
        <v>0</v>
      </c>
      <c r="H23" s="9">
        <f t="shared" si="4"/>
        <v>0</v>
      </c>
      <c r="I23" s="9">
        <f t="shared" si="4"/>
        <v>0</v>
      </c>
      <c r="J23" s="9">
        <f t="shared" si="4"/>
        <v>0</v>
      </c>
      <c r="K23" s="9">
        <v>26</v>
      </c>
      <c r="L23" s="9">
        <v>37</v>
      </c>
      <c r="M23" s="9">
        <v>34</v>
      </c>
      <c r="N23" s="9">
        <v>67</v>
      </c>
      <c r="O23" s="9">
        <v>41</v>
      </c>
      <c r="P23" s="9">
        <v>131</v>
      </c>
      <c r="Q23" s="9">
        <v>25</v>
      </c>
      <c r="R23" s="9">
        <v>167</v>
      </c>
    </row>
    <row r="24" spans="1:18" ht="15.75">
      <c r="A24" s="4"/>
      <c r="B24" s="8" t="s">
        <v>37</v>
      </c>
      <c r="C24" s="9"/>
      <c r="D24" s="9"/>
      <c r="E24" s="9"/>
      <c r="F24" s="9"/>
      <c r="G24" s="9"/>
      <c r="H24" s="9"/>
      <c r="I24" s="9"/>
      <c r="J24" s="9"/>
      <c r="K24" s="9">
        <v>7</v>
      </c>
      <c r="L24" s="9">
        <v>0</v>
      </c>
      <c r="M24" s="9">
        <v>9</v>
      </c>
      <c r="N24" s="9">
        <v>10</v>
      </c>
      <c r="O24" s="9">
        <v>10</v>
      </c>
      <c r="P24" s="9">
        <v>29</v>
      </c>
      <c r="Q24" s="9">
        <v>17</v>
      </c>
      <c r="R24" s="9">
        <v>25</v>
      </c>
    </row>
    <row r="25" spans="1:18" ht="15.75">
      <c r="A25" s="4"/>
      <c r="B25" s="10" t="s">
        <v>35</v>
      </c>
      <c r="C25" s="9"/>
      <c r="D25" s="9"/>
      <c r="E25" s="9"/>
      <c r="F25" s="9"/>
      <c r="G25" s="9"/>
      <c r="H25" s="9"/>
      <c r="I25" s="9"/>
      <c r="J25" s="9"/>
      <c r="K25" s="9">
        <v>2</v>
      </c>
      <c r="L25" s="9">
        <v>0</v>
      </c>
      <c r="M25" s="9">
        <v>2</v>
      </c>
      <c r="N25" s="9">
        <v>0</v>
      </c>
      <c r="O25" s="9">
        <v>4</v>
      </c>
      <c r="P25" s="9">
        <v>0</v>
      </c>
      <c r="Q25" s="9">
        <v>5</v>
      </c>
      <c r="R25" s="9">
        <v>0</v>
      </c>
    </row>
    <row r="26" spans="1:18" ht="15.75">
      <c r="A26" s="4"/>
      <c r="B26" s="10" t="s">
        <v>36</v>
      </c>
      <c r="C26" s="9"/>
      <c r="D26" s="9"/>
      <c r="E26" s="9"/>
      <c r="F26" s="9"/>
      <c r="G26" s="9"/>
      <c r="H26" s="9"/>
      <c r="I26" s="9"/>
      <c r="J26" s="9"/>
      <c r="K26" s="9">
        <v>17</v>
      </c>
      <c r="L26" s="9">
        <v>37</v>
      </c>
      <c r="M26" s="9">
        <v>23</v>
      </c>
      <c r="N26" s="9">
        <v>57</v>
      </c>
      <c r="O26" s="9">
        <v>27</v>
      </c>
      <c r="P26" s="9">
        <v>102</v>
      </c>
      <c r="Q26" s="9">
        <v>3</v>
      </c>
      <c r="R26" s="9">
        <v>142</v>
      </c>
    </row>
    <row r="27" spans="1:18" ht="15.75">
      <c r="A27" s="19"/>
      <c r="B27" s="8" t="s">
        <v>28</v>
      </c>
      <c r="C27" s="9"/>
      <c r="D27" s="9"/>
      <c r="E27" s="9"/>
      <c r="F27" s="9"/>
      <c r="G27" s="9"/>
      <c r="H27" s="9"/>
      <c r="I27" s="9"/>
      <c r="J27" s="9"/>
      <c r="K27" s="9">
        <v>10</v>
      </c>
      <c r="L27" s="9">
        <v>35</v>
      </c>
      <c r="M27" s="9">
        <v>10</v>
      </c>
      <c r="N27" s="9">
        <v>44</v>
      </c>
      <c r="O27" s="9">
        <v>15</v>
      </c>
      <c r="P27" s="9">
        <v>110</v>
      </c>
      <c r="Q27" s="9">
        <v>15</v>
      </c>
      <c r="R27" s="9">
        <v>115</v>
      </c>
    </row>
    <row r="28" spans="1:18" ht="15.75">
      <c r="A28" s="4">
        <v>6</v>
      </c>
      <c r="B28" s="11" t="s">
        <v>42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ht="15.75">
      <c r="A29" s="4"/>
      <c r="B29" s="15" t="s">
        <v>29</v>
      </c>
      <c r="C29" s="16"/>
      <c r="D29" s="16"/>
      <c r="E29" s="16"/>
      <c r="F29" s="16"/>
      <c r="G29" s="16"/>
      <c r="H29" s="16"/>
      <c r="I29" s="16"/>
      <c r="J29" s="16"/>
      <c r="K29" s="16">
        <v>14.538461538461538</v>
      </c>
      <c r="L29" s="16">
        <v>26.27027027027027</v>
      </c>
      <c r="M29" s="16">
        <v>15.058823529411764</v>
      </c>
      <c r="N29" s="16">
        <v>22.64179104477612</v>
      </c>
      <c r="O29" s="16">
        <v>14.780487804878049</v>
      </c>
      <c r="P29" s="16">
        <v>19.503816793893129</v>
      </c>
      <c r="Q29" s="16">
        <v>18.782608695652176</v>
      </c>
      <c r="R29" s="16">
        <v>18.136986301369863</v>
      </c>
    </row>
    <row r="30" spans="1:18" ht="15.75">
      <c r="A30" s="4"/>
      <c r="B30" s="15" t="s">
        <v>30</v>
      </c>
      <c r="C30" s="16"/>
      <c r="D30" s="16"/>
      <c r="E30" s="16"/>
      <c r="F30" s="16"/>
      <c r="G30" s="16"/>
      <c r="H30" s="16"/>
      <c r="I30" s="16"/>
      <c r="J30" s="16"/>
      <c r="K30" s="16">
        <v>1.1538461538461537</v>
      </c>
      <c r="L30" s="16">
        <v>1.027027027027027</v>
      </c>
      <c r="M30" s="16">
        <v>1</v>
      </c>
      <c r="N30" s="16">
        <v>1</v>
      </c>
      <c r="O30" s="16">
        <v>1.2926829268292683</v>
      </c>
      <c r="P30" s="16">
        <v>1.0381679389312977</v>
      </c>
      <c r="Q30" s="16">
        <v>1.326086956521739</v>
      </c>
      <c r="R30" s="16">
        <v>1.0684931506849316</v>
      </c>
    </row>
    <row r="31" spans="1:18" ht="15.75">
      <c r="A31" s="4"/>
      <c r="B31" s="15" t="s">
        <v>31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ht="15.75">
      <c r="A32" s="4"/>
      <c r="B32" s="15" t="s">
        <v>32</v>
      </c>
      <c r="C32" s="9"/>
      <c r="D32" s="9"/>
      <c r="E32" s="9"/>
      <c r="F32" s="9"/>
      <c r="G32" s="9"/>
      <c r="H32" s="9"/>
      <c r="I32" s="9"/>
      <c r="J32" s="9"/>
      <c r="K32" s="9">
        <v>0.02</v>
      </c>
      <c r="L32" s="9"/>
      <c r="M32" s="9">
        <v>2.8000000000000001E-2</v>
      </c>
      <c r="N32" s="9"/>
      <c r="O32" s="9">
        <v>0.03</v>
      </c>
      <c r="P32" s="9"/>
      <c r="Q32" s="9">
        <v>3.3000000000000002E-2</v>
      </c>
      <c r="R32" s="9"/>
    </row>
    <row r="33" spans="1:18" ht="15.75">
      <c r="A33" s="4"/>
      <c r="B33" s="15" t="s">
        <v>33</v>
      </c>
      <c r="C33" s="9"/>
      <c r="D33" s="9"/>
      <c r="E33" s="9"/>
      <c r="F33" s="9"/>
      <c r="G33" s="9"/>
      <c r="H33" s="9"/>
      <c r="I33" s="9"/>
      <c r="J33" s="9"/>
      <c r="K33" s="9">
        <v>0.55000000000000004</v>
      </c>
      <c r="L33" s="9"/>
      <c r="M33" s="9">
        <v>0.65</v>
      </c>
      <c r="N33" s="9"/>
      <c r="O33" s="9">
        <v>0.7</v>
      </c>
      <c r="P33" s="9"/>
      <c r="Q33" s="9">
        <v>0.77</v>
      </c>
      <c r="R33" s="9"/>
    </row>
    <row r="34" spans="1:18" ht="15.75">
      <c r="A34" s="5"/>
      <c r="B34" s="17" t="s">
        <v>34</v>
      </c>
      <c r="C34" s="18"/>
      <c r="D34" s="18"/>
      <c r="E34" s="18"/>
      <c r="F34" s="18"/>
      <c r="G34" s="18"/>
      <c r="H34" s="18"/>
      <c r="I34" s="18"/>
      <c r="J34" s="18"/>
      <c r="K34" s="18">
        <v>0.75</v>
      </c>
      <c r="L34" s="18"/>
      <c r="M34" s="18">
        <v>0.81</v>
      </c>
      <c r="N34" s="18"/>
      <c r="O34" s="18">
        <v>0.85</v>
      </c>
      <c r="P34" s="18"/>
      <c r="Q34" s="18">
        <v>0.91</v>
      </c>
      <c r="R34" s="18"/>
    </row>
  </sheetData>
  <mergeCells count="10">
    <mergeCell ref="A2:A3"/>
    <mergeCell ref="B2:B3"/>
    <mergeCell ref="C2:D2"/>
    <mergeCell ref="E2:F2"/>
    <mergeCell ref="O2:P2"/>
    <mergeCell ref="Q2:R2"/>
    <mergeCell ref="G2:H2"/>
    <mergeCell ref="I2:J2"/>
    <mergeCell ref="K2:L2"/>
    <mergeCell ref="M2:N2"/>
  </mergeCells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34"/>
  <sheetViews>
    <sheetView topLeftCell="A13" zoomScale="55" workbookViewId="0">
      <selection activeCell="C4" sqref="C4:R34"/>
    </sheetView>
  </sheetViews>
  <sheetFormatPr defaultRowHeight="15"/>
  <cols>
    <col min="1" max="1" width="2.75" customWidth="1"/>
    <col min="2" max="2" width="30.625" customWidth="1"/>
    <col min="3" max="3" width="6.875" customWidth="1"/>
    <col min="4" max="4" width="5.375" customWidth="1"/>
    <col min="5" max="5" width="7.375" customWidth="1"/>
    <col min="6" max="6" width="5.375" customWidth="1"/>
    <col min="7" max="7" width="7.375" customWidth="1"/>
    <col min="8" max="8" width="5.375" customWidth="1"/>
    <col min="9" max="9" width="7.25" customWidth="1"/>
    <col min="10" max="10" width="5.375" customWidth="1"/>
    <col min="11" max="11" width="7.375" customWidth="1"/>
    <col min="12" max="12" width="5.375" customWidth="1"/>
    <col min="13" max="13" width="6.25" customWidth="1"/>
    <col min="14" max="14" width="6.375" customWidth="1"/>
    <col min="15" max="15" width="7" customWidth="1"/>
    <col min="16" max="16" width="5.375" customWidth="1"/>
    <col min="17" max="17" width="7" customWidth="1"/>
    <col min="18" max="18" width="5.375" customWidth="1"/>
  </cols>
  <sheetData>
    <row r="1" spans="1:18" ht="20.25">
      <c r="C1" s="1" t="s">
        <v>0</v>
      </c>
      <c r="D1" s="1"/>
      <c r="E1" s="1"/>
      <c r="F1" s="1"/>
      <c r="G1" s="1"/>
      <c r="H1" s="1"/>
    </row>
    <row r="2" spans="1:18" ht="15.75">
      <c r="A2" s="722" t="s">
        <v>1</v>
      </c>
      <c r="B2" s="724" t="s">
        <v>2</v>
      </c>
      <c r="C2" s="720" t="s">
        <v>5</v>
      </c>
      <c r="D2" s="721"/>
      <c r="E2" s="720" t="s">
        <v>6</v>
      </c>
      <c r="F2" s="721"/>
      <c r="G2" s="720" t="s">
        <v>7</v>
      </c>
      <c r="H2" s="721"/>
      <c r="I2" s="720" t="s">
        <v>8</v>
      </c>
      <c r="J2" s="721"/>
      <c r="K2" s="720" t="s">
        <v>9</v>
      </c>
      <c r="L2" s="721"/>
      <c r="M2" s="720" t="s">
        <v>10</v>
      </c>
      <c r="N2" s="721"/>
      <c r="O2" s="720" t="s">
        <v>11</v>
      </c>
      <c r="P2" s="721"/>
      <c r="Q2" s="720" t="s">
        <v>12</v>
      </c>
      <c r="R2" s="721"/>
    </row>
    <row r="3" spans="1:18" ht="15.75">
      <c r="A3" s="723"/>
      <c r="B3" s="725"/>
      <c r="C3" s="2" t="s">
        <v>3</v>
      </c>
      <c r="D3" s="2" t="s">
        <v>4</v>
      </c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</row>
    <row r="4" spans="1:18" ht="15.75">
      <c r="A4" s="3">
        <v>1</v>
      </c>
      <c r="B4" s="6" t="s">
        <v>40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1</v>
      </c>
      <c r="L4" s="7">
        <v>0</v>
      </c>
      <c r="M4" s="7">
        <v>2</v>
      </c>
      <c r="N4" s="7">
        <v>0</v>
      </c>
      <c r="O4" s="7">
        <v>7</v>
      </c>
      <c r="P4" s="7">
        <v>0</v>
      </c>
      <c r="Q4" s="7">
        <v>10</v>
      </c>
      <c r="R4" s="7">
        <v>0</v>
      </c>
    </row>
    <row r="5" spans="1:18" ht="15.75">
      <c r="A5" s="4"/>
      <c r="B5" s="8" t="s">
        <v>43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1</v>
      </c>
      <c r="L5" s="9">
        <v>0</v>
      </c>
      <c r="M5" s="9">
        <v>2</v>
      </c>
      <c r="N5" s="9">
        <v>0</v>
      </c>
      <c r="O5" s="9">
        <v>7</v>
      </c>
      <c r="P5" s="9">
        <v>0</v>
      </c>
      <c r="Q5" s="9">
        <v>10</v>
      </c>
      <c r="R5" s="9">
        <v>0</v>
      </c>
    </row>
    <row r="6" spans="1:18" ht="15.75">
      <c r="A6" s="4"/>
      <c r="B6" s="10" t="s">
        <v>16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</row>
    <row r="7" spans="1:18" ht="15.75">
      <c r="A7" s="19"/>
      <c r="B7" s="10" t="s">
        <v>18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</row>
    <row r="8" spans="1:18" ht="15.75">
      <c r="A8" s="4">
        <v>2</v>
      </c>
      <c r="B8" s="11" t="s">
        <v>13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10</v>
      </c>
      <c r="J8" s="9">
        <v>7</v>
      </c>
      <c r="K8" s="9">
        <v>11</v>
      </c>
      <c r="L8" s="9">
        <v>4</v>
      </c>
      <c r="M8" s="9">
        <v>20</v>
      </c>
      <c r="N8" s="9">
        <v>10</v>
      </c>
      <c r="O8" s="9">
        <v>17</v>
      </c>
      <c r="P8" s="9">
        <v>66</v>
      </c>
      <c r="Q8" s="9">
        <v>31</v>
      </c>
      <c r="R8" s="9">
        <v>97</v>
      </c>
    </row>
    <row r="9" spans="1:18" ht="15.75">
      <c r="A9" s="4"/>
      <c r="B9" s="8" t="s">
        <v>17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2</v>
      </c>
      <c r="J9" s="9">
        <v>0</v>
      </c>
      <c r="K9" s="9">
        <v>2</v>
      </c>
      <c r="L9" s="9">
        <v>0</v>
      </c>
      <c r="M9" s="9">
        <v>4</v>
      </c>
      <c r="N9" s="9">
        <v>0</v>
      </c>
      <c r="O9" s="9">
        <v>5</v>
      </c>
      <c r="P9" s="9">
        <v>0</v>
      </c>
      <c r="Q9" s="9">
        <v>8</v>
      </c>
      <c r="R9" s="9">
        <v>0</v>
      </c>
    </row>
    <row r="10" spans="1:18" ht="15.75">
      <c r="A10" s="4"/>
      <c r="B10" s="10" t="s">
        <v>19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8</v>
      </c>
      <c r="J10" s="9">
        <v>7</v>
      </c>
      <c r="K10" s="9">
        <v>9</v>
      </c>
      <c r="L10" s="9">
        <v>4</v>
      </c>
      <c r="M10" s="9">
        <v>16</v>
      </c>
      <c r="N10" s="9">
        <v>10</v>
      </c>
      <c r="O10" s="9">
        <v>12</v>
      </c>
      <c r="P10" s="9">
        <v>66</v>
      </c>
      <c r="Q10" s="9">
        <v>23</v>
      </c>
      <c r="R10" s="9">
        <v>97</v>
      </c>
    </row>
    <row r="11" spans="1:18" ht="15.75">
      <c r="A11" s="19"/>
      <c r="B11" s="10" t="s">
        <v>20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6</v>
      </c>
      <c r="J11" s="9">
        <v>7</v>
      </c>
      <c r="K11" s="9">
        <v>7</v>
      </c>
      <c r="L11" s="9">
        <v>4</v>
      </c>
      <c r="M11" s="9">
        <v>13</v>
      </c>
      <c r="N11" s="9">
        <v>10</v>
      </c>
      <c r="O11" s="9">
        <v>7</v>
      </c>
      <c r="P11" s="9">
        <v>61</v>
      </c>
      <c r="Q11" s="9">
        <v>12</v>
      </c>
      <c r="R11" s="9">
        <v>86</v>
      </c>
    </row>
    <row r="12" spans="1:18" ht="15.75">
      <c r="A12" s="4">
        <v>3</v>
      </c>
      <c r="B12" s="11" t="s">
        <v>14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158</v>
      </c>
      <c r="J12" s="9">
        <v>136</v>
      </c>
      <c r="K12" s="9">
        <v>188</v>
      </c>
      <c r="L12" s="9">
        <v>86</v>
      </c>
      <c r="M12" s="9">
        <v>324</v>
      </c>
      <c r="N12" s="9">
        <v>213</v>
      </c>
      <c r="O12" s="9">
        <v>267</v>
      </c>
      <c r="P12" s="9">
        <v>1175</v>
      </c>
      <c r="Q12" s="9">
        <v>557</v>
      </c>
      <c r="R12" s="9">
        <v>1547</v>
      </c>
    </row>
    <row r="13" spans="1:18" ht="15.75">
      <c r="A13" s="4"/>
      <c r="B13" s="8" t="s">
        <v>39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22</v>
      </c>
      <c r="J13" s="9">
        <v>0</v>
      </c>
      <c r="K13" s="9">
        <v>13</v>
      </c>
      <c r="L13" s="9">
        <v>0</v>
      </c>
      <c r="M13" s="9">
        <v>40</v>
      </c>
      <c r="N13" s="9">
        <v>0</v>
      </c>
      <c r="O13" s="9">
        <v>63</v>
      </c>
      <c r="P13" s="9">
        <v>0</v>
      </c>
      <c r="Q13" s="9">
        <v>121</v>
      </c>
      <c r="R13" s="9">
        <v>0</v>
      </c>
    </row>
    <row r="14" spans="1:18" ht="15.75">
      <c r="A14" s="4"/>
      <c r="B14" s="10" t="s">
        <v>21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136</v>
      </c>
      <c r="J14" s="9">
        <v>136</v>
      </c>
      <c r="K14" s="9">
        <v>175</v>
      </c>
      <c r="L14" s="9">
        <v>86</v>
      </c>
      <c r="M14" s="9">
        <v>284</v>
      </c>
      <c r="N14" s="9">
        <v>0</v>
      </c>
      <c r="O14" s="9">
        <v>204</v>
      </c>
      <c r="P14" s="9">
        <v>1175</v>
      </c>
      <c r="Q14" s="9">
        <v>436</v>
      </c>
      <c r="R14" s="9">
        <v>1547</v>
      </c>
    </row>
    <row r="15" spans="1:18" ht="15.75">
      <c r="A15" s="19"/>
      <c r="B15" s="10" t="s">
        <v>22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102</v>
      </c>
      <c r="J15" s="9">
        <v>88</v>
      </c>
      <c r="K15" s="9">
        <v>70</v>
      </c>
      <c r="L15" s="9">
        <v>83</v>
      </c>
      <c r="M15" s="9">
        <v>234</v>
      </c>
      <c r="N15" s="9">
        <v>213</v>
      </c>
      <c r="O15" s="9">
        <v>119</v>
      </c>
      <c r="P15" s="9">
        <v>758</v>
      </c>
      <c r="Q15" s="9">
        <v>152</v>
      </c>
      <c r="R15" s="9">
        <v>924</v>
      </c>
    </row>
    <row r="16" spans="1:18">
      <c r="A16" s="4">
        <v>4</v>
      </c>
      <c r="B16" s="11" t="s">
        <v>15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11</v>
      </c>
      <c r="J16" s="12">
        <v>7</v>
      </c>
      <c r="K16" s="12">
        <v>13</v>
      </c>
      <c r="L16" s="12">
        <v>17</v>
      </c>
      <c r="M16" s="12">
        <v>25</v>
      </c>
      <c r="N16" s="12">
        <v>22</v>
      </c>
      <c r="O16" s="12">
        <v>49</v>
      </c>
      <c r="P16" s="12">
        <v>63</v>
      </c>
      <c r="Q16" s="12">
        <v>101</v>
      </c>
      <c r="R16" s="12">
        <v>65</v>
      </c>
    </row>
    <row r="17" spans="1:18" ht="15.75">
      <c r="A17" s="4"/>
      <c r="B17" s="8" t="s">
        <v>38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1</v>
      </c>
      <c r="J17" s="9">
        <v>0</v>
      </c>
      <c r="K17" s="9">
        <v>3</v>
      </c>
      <c r="L17" s="9">
        <v>0</v>
      </c>
      <c r="M17" s="9">
        <v>5</v>
      </c>
      <c r="N17" s="9">
        <v>0</v>
      </c>
      <c r="O17" s="9">
        <v>11</v>
      </c>
      <c r="P17" s="9">
        <v>0</v>
      </c>
      <c r="Q17" s="9">
        <v>24</v>
      </c>
      <c r="R17" s="9">
        <v>0</v>
      </c>
    </row>
    <row r="18" spans="1:18" ht="15.75">
      <c r="A18" s="4"/>
      <c r="B18" s="10" t="s">
        <v>23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10</v>
      </c>
      <c r="J18" s="14">
        <v>7</v>
      </c>
      <c r="K18" s="14">
        <v>11</v>
      </c>
      <c r="L18" s="14">
        <v>4</v>
      </c>
      <c r="M18" s="14">
        <v>20</v>
      </c>
      <c r="N18" s="14">
        <v>22</v>
      </c>
      <c r="O18" s="14">
        <v>16</v>
      </c>
      <c r="P18" s="14">
        <v>79</v>
      </c>
      <c r="Q18" s="9">
        <v>27</v>
      </c>
      <c r="R18" s="9">
        <v>65</v>
      </c>
    </row>
    <row r="19" spans="1:18" ht="15.75">
      <c r="A19" s="4"/>
      <c r="B19" s="10" t="s">
        <v>24</v>
      </c>
      <c r="C19" s="14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2</v>
      </c>
      <c r="J19" s="9">
        <v>0</v>
      </c>
      <c r="K19" s="9">
        <v>2</v>
      </c>
      <c r="L19" s="9">
        <v>0</v>
      </c>
      <c r="M19" s="9">
        <v>4</v>
      </c>
      <c r="N19" s="9">
        <v>0</v>
      </c>
      <c r="O19" s="9">
        <v>4</v>
      </c>
      <c r="P19" s="9">
        <v>0</v>
      </c>
      <c r="Q19" s="9">
        <v>7</v>
      </c>
      <c r="R19" s="9">
        <v>0</v>
      </c>
    </row>
    <row r="20" spans="1:18" ht="15.75">
      <c r="A20" s="4"/>
      <c r="B20" s="10" t="s">
        <v>25</v>
      </c>
      <c r="C20" s="14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8</v>
      </c>
      <c r="J20" s="9">
        <v>7</v>
      </c>
      <c r="K20" s="9">
        <v>9</v>
      </c>
      <c r="L20" s="9">
        <v>4</v>
      </c>
      <c r="M20" s="9">
        <v>16</v>
      </c>
      <c r="N20" s="9">
        <v>22</v>
      </c>
      <c r="O20" s="9">
        <v>12</v>
      </c>
      <c r="P20" s="9">
        <v>66</v>
      </c>
      <c r="Q20" s="9">
        <v>20</v>
      </c>
      <c r="R20" s="9">
        <v>65</v>
      </c>
    </row>
    <row r="21" spans="1:18" ht="15.75">
      <c r="A21" s="4"/>
      <c r="B21" s="10" t="s">
        <v>26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10</v>
      </c>
      <c r="J21" s="14">
        <v>7</v>
      </c>
      <c r="K21" s="14">
        <v>9</v>
      </c>
      <c r="L21" s="14">
        <v>4</v>
      </c>
      <c r="M21" s="14">
        <v>18</v>
      </c>
      <c r="N21" s="14">
        <v>22</v>
      </c>
      <c r="O21" s="14">
        <v>14</v>
      </c>
      <c r="P21" s="14">
        <v>77</v>
      </c>
      <c r="Q21" s="9">
        <v>26</v>
      </c>
      <c r="R21" s="9">
        <v>65</v>
      </c>
    </row>
    <row r="22" spans="1:18" ht="15.75">
      <c r="A22" s="19"/>
      <c r="B22" s="10" t="s">
        <v>27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1</v>
      </c>
      <c r="N22" s="9">
        <v>0</v>
      </c>
      <c r="O22" s="9">
        <v>22</v>
      </c>
      <c r="P22" s="9">
        <v>0</v>
      </c>
      <c r="Q22" s="9">
        <v>50</v>
      </c>
      <c r="R22" s="9">
        <v>0</v>
      </c>
    </row>
    <row r="23" spans="1:18" ht="15.75">
      <c r="A23" s="4">
        <v>5</v>
      </c>
      <c r="B23" s="11" t="s">
        <v>41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10</v>
      </c>
      <c r="J23" s="9">
        <v>17</v>
      </c>
      <c r="K23" s="9">
        <v>9</v>
      </c>
      <c r="L23" s="9">
        <v>6</v>
      </c>
      <c r="M23" s="9">
        <v>20</v>
      </c>
      <c r="N23" s="9">
        <v>30</v>
      </c>
      <c r="O23" s="9">
        <v>17</v>
      </c>
      <c r="P23" s="9">
        <v>66</v>
      </c>
      <c r="Q23" s="9">
        <v>25</v>
      </c>
      <c r="R23" s="9">
        <v>103</v>
      </c>
    </row>
    <row r="24" spans="1:18" ht="15.75">
      <c r="A24" s="4"/>
      <c r="B24" s="8" t="s">
        <v>37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3</v>
      </c>
      <c r="L24" s="9">
        <v>2</v>
      </c>
      <c r="M24" s="9">
        <v>8</v>
      </c>
      <c r="N24" s="9">
        <v>5</v>
      </c>
      <c r="O24" s="9">
        <v>8</v>
      </c>
      <c r="P24" s="9">
        <v>7</v>
      </c>
      <c r="Q24" s="9">
        <v>10</v>
      </c>
      <c r="R24" s="9">
        <v>5</v>
      </c>
    </row>
    <row r="25" spans="1:18" ht="15.75">
      <c r="A25" s="4"/>
      <c r="B25" s="10" t="s">
        <v>35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</row>
    <row r="26" spans="1:18" ht="15.75">
      <c r="A26" s="4"/>
      <c r="B26" s="10" t="s">
        <v>36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10</v>
      </c>
      <c r="J26" s="9">
        <v>7</v>
      </c>
      <c r="K26" s="9">
        <v>6</v>
      </c>
      <c r="L26" s="9">
        <v>4</v>
      </c>
      <c r="M26" s="9">
        <v>12</v>
      </c>
      <c r="N26" s="9">
        <v>5</v>
      </c>
      <c r="O26" s="9">
        <v>9</v>
      </c>
      <c r="P26" s="9">
        <v>59</v>
      </c>
      <c r="Q26" s="9">
        <v>15</v>
      </c>
      <c r="R26" s="9">
        <v>98</v>
      </c>
    </row>
    <row r="27" spans="1:18" ht="15.75">
      <c r="A27" s="19"/>
      <c r="B27" s="8" t="s">
        <v>28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1</v>
      </c>
      <c r="L27" s="9">
        <v>0</v>
      </c>
      <c r="M27" s="9">
        <v>2</v>
      </c>
      <c r="N27" s="9">
        <v>0</v>
      </c>
      <c r="O27" s="9">
        <v>7</v>
      </c>
      <c r="P27" s="9">
        <v>0</v>
      </c>
      <c r="Q27" s="9">
        <v>10</v>
      </c>
      <c r="R27" s="9">
        <v>20</v>
      </c>
    </row>
    <row r="28" spans="1:18" ht="15.75">
      <c r="A28" s="4">
        <v>6</v>
      </c>
      <c r="B28" s="11" t="s">
        <v>42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ht="15.75">
      <c r="A29" s="4"/>
      <c r="B29" s="15" t="s">
        <v>29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16</v>
      </c>
      <c r="J29" s="16">
        <v>19</v>
      </c>
      <c r="K29" s="16">
        <v>19</v>
      </c>
      <c r="L29" s="16">
        <v>17</v>
      </c>
      <c r="M29" s="16">
        <v>18</v>
      </c>
      <c r="N29" s="16">
        <v>21</v>
      </c>
      <c r="O29" s="16">
        <v>13</v>
      </c>
      <c r="P29" s="16">
        <v>18</v>
      </c>
      <c r="Q29" s="16">
        <v>18</v>
      </c>
      <c r="R29" s="16">
        <v>16</v>
      </c>
    </row>
    <row r="30" spans="1:18" ht="15.75">
      <c r="A30" s="4"/>
      <c r="B30" s="15" t="s">
        <v>30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1</v>
      </c>
      <c r="J30" s="16">
        <v>1</v>
      </c>
      <c r="K30" s="16">
        <v>1</v>
      </c>
      <c r="L30" s="16">
        <v>1</v>
      </c>
      <c r="M30" s="16">
        <v>1</v>
      </c>
      <c r="N30" s="16">
        <v>1</v>
      </c>
      <c r="O30" s="16">
        <v>1</v>
      </c>
      <c r="P30" s="16">
        <v>1</v>
      </c>
      <c r="Q30" s="16">
        <v>1</v>
      </c>
      <c r="R30" s="16">
        <v>1</v>
      </c>
    </row>
    <row r="31" spans="1:18" ht="15.75">
      <c r="A31" s="4"/>
      <c r="B31" s="15" t="s">
        <v>31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ht="15.75">
      <c r="A32" s="4"/>
      <c r="B32" s="15" t="s">
        <v>32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0.63</v>
      </c>
      <c r="J32" s="9">
        <v>0</v>
      </c>
      <c r="K32" s="9">
        <v>0.3</v>
      </c>
      <c r="L32" s="9">
        <v>0</v>
      </c>
      <c r="M32" s="9">
        <v>2.6</v>
      </c>
      <c r="N32" s="9">
        <v>0</v>
      </c>
      <c r="O32" s="9">
        <v>1.2</v>
      </c>
      <c r="P32" s="9">
        <v>0</v>
      </c>
      <c r="Q32" s="9">
        <v>4.43</v>
      </c>
      <c r="R32" s="9">
        <v>0</v>
      </c>
    </row>
    <row r="33" spans="1:18" ht="15.75">
      <c r="A33" s="4"/>
      <c r="B33" s="15" t="s">
        <v>33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50</v>
      </c>
      <c r="J33" s="9">
        <v>6.5</v>
      </c>
      <c r="K33" s="9">
        <v>50</v>
      </c>
      <c r="L33" s="9">
        <v>6.6</v>
      </c>
      <c r="M33" s="9">
        <v>60</v>
      </c>
      <c r="N33" s="9">
        <v>10.1</v>
      </c>
      <c r="O33" s="9">
        <v>90</v>
      </c>
      <c r="P33" s="9">
        <v>20.8</v>
      </c>
      <c r="Q33" s="9">
        <v>95</v>
      </c>
      <c r="R33" s="9">
        <v>38.979999999999997</v>
      </c>
    </row>
    <row r="34" spans="1:18" ht="15.75">
      <c r="A34" s="5"/>
      <c r="B34" s="17" t="s">
        <v>34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100</v>
      </c>
      <c r="J34" s="18">
        <v>15.5</v>
      </c>
      <c r="K34" s="18">
        <v>100</v>
      </c>
      <c r="L34" s="18">
        <v>10</v>
      </c>
      <c r="M34" s="18">
        <v>100</v>
      </c>
      <c r="N34" s="18">
        <v>34.5</v>
      </c>
      <c r="O34" s="18">
        <v>100</v>
      </c>
      <c r="P34" s="18">
        <v>45.5</v>
      </c>
      <c r="Q34" s="18">
        <v>100</v>
      </c>
      <c r="R34" s="18">
        <v>60.5</v>
      </c>
    </row>
  </sheetData>
  <mergeCells count="10">
    <mergeCell ref="A2:A3"/>
    <mergeCell ref="B2:B3"/>
    <mergeCell ref="C2:D2"/>
    <mergeCell ref="E2:F2"/>
    <mergeCell ref="O2:P2"/>
    <mergeCell ref="Q2:R2"/>
    <mergeCell ref="G2:H2"/>
    <mergeCell ref="I2:J2"/>
    <mergeCell ref="K2:L2"/>
    <mergeCell ref="M2:N2"/>
  </mergeCells>
  <phoneticPr fontId="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34"/>
  <sheetViews>
    <sheetView zoomScale="55" workbookViewId="0">
      <selection activeCell="C4" sqref="C4:R34"/>
    </sheetView>
  </sheetViews>
  <sheetFormatPr defaultRowHeight="15"/>
  <cols>
    <col min="1" max="1" width="2.75" customWidth="1"/>
    <col min="2" max="2" width="30.625" customWidth="1"/>
    <col min="3" max="3" width="6.875" customWidth="1"/>
    <col min="4" max="4" width="5.375" customWidth="1"/>
    <col min="5" max="5" width="7.375" customWidth="1"/>
    <col min="6" max="6" width="5.375" customWidth="1"/>
    <col min="7" max="7" width="7.375" customWidth="1"/>
    <col min="8" max="8" width="5.375" customWidth="1"/>
    <col min="9" max="9" width="7.25" customWidth="1"/>
    <col min="10" max="10" width="5.375" customWidth="1"/>
    <col min="11" max="11" width="7.375" customWidth="1"/>
    <col min="12" max="12" width="5.375" customWidth="1"/>
    <col min="13" max="13" width="6.25" customWidth="1"/>
    <col min="14" max="14" width="6.375" customWidth="1"/>
    <col min="15" max="15" width="7" customWidth="1"/>
    <col min="16" max="16" width="5.375" customWidth="1"/>
    <col min="17" max="17" width="7" customWidth="1"/>
    <col min="18" max="18" width="5.375" customWidth="1"/>
  </cols>
  <sheetData>
    <row r="1" spans="1:18" ht="20.25">
      <c r="C1" s="1" t="s">
        <v>0</v>
      </c>
      <c r="D1" s="1"/>
      <c r="E1" s="1"/>
      <c r="F1" s="1"/>
      <c r="G1" s="1"/>
      <c r="H1" s="1"/>
    </row>
    <row r="2" spans="1:18" ht="15.75">
      <c r="A2" s="722" t="s">
        <v>1</v>
      </c>
      <c r="B2" s="724" t="s">
        <v>2</v>
      </c>
      <c r="C2" s="720" t="s">
        <v>5</v>
      </c>
      <c r="D2" s="721"/>
      <c r="E2" s="720" t="s">
        <v>6</v>
      </c>
      <c r="F2" s="721"/>
      <c r="G2" s="720" t="s">
        <v>7</v>
      </c>
      <c r="H2" s="721"/>
      <c r="I2" s="720" t="s">
        <v>8</v>
      </c>
      <c r="J2" s="721"/>
      <c r="K2" s="720" t="s">
        <v>9</v>
      </c>
      <c r="L2" s="721"/>
      <c r="M2" s="720" t="s">
        <v>10</v>
      </c>
      <c r="N2" s="721"/>
      <c r="O2" s="720" t="s">
        <v>11</v>
      </c>
      <c r="P2" s="721"/>
      <c r="Q2" s="720" t="s">
        <v>12</v>
      </c>
      <c r="R2" s="721"/>
    </row>
    <row r="3" spans="1:18" ht="15.75">
      <c r="A3" s="723"/>
      <c r="B3" s="725"/>
      <c r="C3" s="2" t="s">
        <v>3</v>
      </c>
      <c r="D3" s="2" t="s">
        <v>4</v>
      </c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</row>
    <row r="4" spans="1:18" ht="15.75">
      <c r="A4" s="3">
        <v>1</v>
      </c>
      <c r="B4" s="6" t="s">
        <v>40</v>
      </c>
      <c r="C4" s="7">
        <f>SUM(C5:C6)</f>
        <v>0</v>
      </c>
      <c r="D4" s="7">
        <f t="shared" ref="D4:R4" si="0">SUM(D5:D6)</f>
        <v>0</v>
      </c>
      <c r="E4" s="7">
        <f t="shared" si="0"/>
        <v>0</v>
      </c>
      <c r="F4" s="7">
        <f t="shared" si="0"/>
        <v>0</v>
      </c>
      <c r="G4" s="7">
        <f t="shared" si="0"/>
        <v>0</v>
      </c>
      <c r="H4" s="7">
        <f t="shared" si="0"/>
        <v>0</v>
      </c>
      <c r="I4" s="7">
        <f t="shared" si="0"/>
        <v>0</v>
      </c>
      <c r="J4" s="7">
        <f t="shared" si="0"/>
        <v>0</v>
      </c>
      <c r="K4" s="7">
        <f t="shared" si="0"/>
        <v>0</v>
      </c>
      <c r="L4" s="7">
        <f t="shared" si="0"/>
        <v>0</v>
      </c>
      <c r="M4" s="7">
        <f t="shared" si="0"/>
        <v>0</v>
      </c>
      <c r="N4" s="7">
        <f t="shared" si="0"/>
        <v>0</v>
      </c>
      <c r="O4" s="7">
        <f t="shared" si="0"/>
        <v>0</v>
      </c>
      <c r="P4" s="7">
        <f t="shared" si="0"/>
        <v>0</v>
      </c>
      <c r="Q4" s="7">
        <f t="shared" si="0"/>
        <v>0</v>
      </c>
      <c r="R4" s="7">
        <f t="shared" si="0"/>
        <v>0</v>
      </c>
    </row>
    <row r="5" spans="1:18" ht="15.75">
      <c r="A5" s="4"/>
      <c r="B5" s="8" t="s">
        <v>43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ht="15.75">
      <c r="A6" s="4"/>
      <c r="B6" s="10" t="s">
        <v>16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15.75">
      <c r="A7" s="19"/>
      <c r="B7" s="10" t="s">
        <v>18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18" ht="15.75">
      <c r="A8" s="4">
        <v>2</v>
      </c>
      <c r="B8" s="11" t="s">
        <v>13</v>
      </c>
      <c r="C8" s="9">
        <f>SUM(C9:C10)</f>
        <v>0</v>
      </c>
      <c r="D8" s="9">
        <f t="shared" ref="D8:R8" si="1">SUM(D9:D10)</f>
        <v>0</v>
      </c>
      <c r="E8" s="9">
        <f t="shared" si="1"/>
        <v>0</v>
      </c>
      <c r="F8" s="9">
        <f t="shared" si="1"/>
        <v>0</v>
      </c>
      <c r="G8" s="9">
        <f t="shared" si="1"/>
        <v>0</v>
      </c>
      <c r="H8" s="9">
        <f t="shared" si="1"/>
        <v>0</v>
      </c>
      <c r="I8" s="9">
        <f t="shared" si="1"/>
        <v>0</v>
      </c>
      <c r="J8" s="9">
        <f t="shared" si="1"/>
        <v>0</v>
      </c>
      <c r="K8" s="9">
        <f t="shared" si="1"/>
        <v>0</v>
      </c>
      <c r="L8" s="9">
        <f t="shared" si="1"/>
        <v>0</v>
      </c>
      <c r="M8" s="9">
        <f t="shared" si="1"/>
        <v>0</v>
      </c>
      <c r="N8" s="9">
        <f t="shared" si="1"/>
        <v>0</v>
      </c>
      <c r="O8" s="9">
        <f t="shared" si="1"/>
        <v>0</v>
      </c>
      <c r="P8" s="9">
        <f t="shared" si="1"/>
        <v>0</v>
      </c>
      <c r="Q8" s="9">
        <f t="shared" si="1"/>
        <v>0</v>
      </c>
      <c r="R8" s="9">
        <f t="shared" si="1"/>
        <v>0</v>
      </c>
    </row>
    <row r="9" spans="1:18" ht="15.75">
      <c r="A9" s="4"/>
      <c r="B9" s="8" t="s">
        <v>17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18" ht="15.75">
      <c r="A10" s="4"/>
      <c r="B10" s="10" t="s">
        <v>19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ht="15.75">
      <c r="A11" s="19"/>
      <c r="B11" s="10" t="s">
        <v>20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ht="15.75">
      <c r="A12" s="4">
        <v>3</v>
      </c>
      <c r="B12" s="11" t="s">
        <v>14</v>
      </c>
      <c r="C12" s="9">
        <f>SUM(C13:C14)</f>
        <v>0</v>
      </c>
      <c r="D12" s="9">
        <f t="shared" ref="D12:R12" si="2">SUM(D13:D14)</f>
        <v>0</v>
      </c>
      <c r="E12" s="9">
        <f t="shared" si="2"/>
        <v>0</v>
      </c>
      <c r="F12" s="9">
        <f t="shared" si="2"/>
        <v>0</v>
      </c>
      <c r="G12" s="9">
        <f t="shared" si="2"/>
        <v>0</v>
      </c>
      <c r="H12" s="9">
        <f t="shared" si="2"/>
        <v>0</v>
      </c>
      <c r="I12" s="9">
        <f t="shared" si="2"/>
        <v>0</v>
      </c>
      <c r="J12" s="9">
        <f t="shared" si="2"/>
        <v>0</v>
      </c>
      <c r="K12" s="9">
        <f t="shared" si="2"/>
        <v>0</v>
      </c>
      <c r="L12" s="9">
        <f t="shared" si="2"/>
        <v>0</v>
      </c>
      <c r="M12" s="9">
        <f t="shared" si="2"/>
        <v>0</v>
      </c>
      <c r="N12" s="9">
        <f t="shared" si="2"/>
        <v>0</v>
      </c>
      <c r="O12" s="9">
        <f t="shared" si="2"/>
        <v>0</v>
      </c>
      <c r="P12" s="9">
        <f t="shared" si="2"/>
        <v>0</v>
      </c>
      <c r="Q12" s="9">
        <f t="shared" si="2"/>
        <v>0</v>
      </c>
      <c r="R12" s="9">
        <f t="shared" si="2"/>
        <v>0</v>
      </c>
    </row>
    <row r="13" spans="1:18" ht="15.75">
      <c r="A13" s="4"/>
      <c r="B13" s="8" t="s">
        <v>39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</row>
    <row r="14" spans="1:18" ht="15.75">
      <c r="A14" s="4"/>
      <c r="B14" s="10" t="s">
        <v>21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</row>
    <row r="15" spans="1:18" ht="15.75">
      <c r="A15" s="19"/>
      <c r="B15" s="10" t="s">
        <v>22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18">
      <c r="A16" s="4">
        <v>4</v>
      </c>
      <c r="B16" s="11" t="s">
        <v>15</v>
      </c>
      <c r="C16" s="12">
        <f>C17+C18+C22</f>
        <v>0</v>
      </c>
      <c r="D16" s="12">
        <f t="shared" ref="D16:R16" si="3">D17+D18+D22</f>
        <v>0</v>
      </c>
      <c r="E16" s="12">
        <f t="shared" si="3"/>
        <v>0</v>
      </c>
      <c r="F16" s="12">
        <f t="shared" si="3"/>
        <v>0</v>
      </c>
      <c r="G16" s="12">
        <f t="shared" si="3"/>
        <v>0</v>
      </c>
      <c r="H16" s="12">
        <f t="shared" si="3"/>
        <v>0</v>
      </c>
      <c r="I16" s="12">
        <f t="shared" si="3"/>
        <v>0</v>
      </c>
      <c r="J16" s="12">
        <f t="shared" si="3"/>
        <v>0</v>
      </c>
      <c r="K16" s="12">
        <f t="shared" si="3"/>
        <v>0</v>
      </c>
      <c r="L16" s="12">
        <f t="shared" si="3"/>
        <v>0</v>
      </c>
      <c r="M16" s="12">
        <f t="shared" si="3"/>
        <v>0</v>
      </c>
      <c r="N16" s="12">
        <f t="shared" si="3"/>
        <v>0</v>
      </c>
      <c r="O16" s="12">
        <f t="shared" si="3"/>
        <v>0</v>
      </c>
      <c r="P16" s="12">
        <f t="shared" si="3"/>
        <v>0</v>
      </c>
      <c r="Q16" s="12">
        <f t="shared" si="3"/>
        <v>0</v>
      </c>
      <c r="R16" s="12">
        <f t="shared" si="3"/>
        <v>0</v>
      </c>
    </row>
    <row r="17" spans="1:18" ht="15.75">
      <c r="A17" s="4"/>
      <c r="B17" s="8" t="s">
        <v>38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</row>
    <row r="18" spans="1:18" ht="15.75">
      <c r="A18" s="4"/>
      <c r="B18" s="10" t="s">
        <v>23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9"/>
      <c r="R18" s="9"/>
    </row>
    <row r="19" spans="1:18" ht="15.75">
      <c r="A19" s="4"/>
      <c r="B19" s="10" t="s">
        <v>24</v>
      </c>
      <c r="C19" s="14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</row>
    <row r="20" spans="1:18" ht="15.75">
      <c r="A20" s="4"/>
      <c r="B20" s="10" t="s">
        <v>25</v>
      </c>
      <c r="C20" s="14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ht="15.75">
      <c r="A21" s="4"/>
      <c r="B21" s="10" t="s">
        <v>26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9"/>
      <c r="R21" s="9"/>
    </row>
    <row r="22" spans="1:18" ht="15.75">
      <c r="A22" s="19"/>
      <c r="B22" s="10" t="s">
        <v>27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</row>
    <row r="23" spans="1:18" ht="15.75">
      <c r="A23" s="4">
        <v>5</v>
      </c>
      <c r="B23" s="11" t="s">
        <v>41</v>
      </c>
      <c r="C23" s="9">
        <f>SUM(C24:C26)</f>
        <v>0</v>
      </c>
      <c r="D23" s="9">
        <f t="shared" ref="D23:R23" si="4">SUM(D24:D26)</f>
        <v>0</v>
      </c>
      <c r="E23" s="9">
        <f t="shared" si="4"/>
        <v>0</v>
      </c>
      <c r="F23" s="9">
        <f t="shared" si="4"/>
        <v>0</v>
      </c>
      <c r="G23" s="9">
        <f t="shared" si="4"/>
        <v>0</v>
      </c>
      <c r="H23" s="9">
        <f t="shared" si="4"/>
        <v>0</v>
      </c>
      <c r="I23" s="9">
        <f t="shared" si="4"/>
        <v>0</v>
      </c>
      <c r="J23" s="9">
        <f t="shared" si="4"/>
        <v>0</v>
      </c>
      <c r="K23" s="9">
        <f t="shared" si="4"/>
        <v>0</v>
      </c>
      <c r="L23" s="9">
        <f t="shared" si="4"/>
        <v>0</v>
      </c>
      <c r="M23" s="9">
        <f t="shared" si="4"/>
        <v>0</v>
      </c>
      <c r="N23" s="9">
        <f t="shared" si="4"/>
        <v>0</v>
      </c>
      <c r="O23" s="9">
        <f t="shared" si="4"/>
        <v>0</v>
      </c>
      <c r="P23" s="9">
        <f t="shared" si="4"/>
        <v>0</v>
      </c>
      <c r="Q23" s="9">
        <f t="shared" si="4"/>
        <v>0</v>
      </c>
      <c r="R23" s="9">
        <f t="shared" si="4"/>
        <v>0</v>
      </c>
    </row>
    <row r="24" spans="1:18" ht="15.75">
      <c r="A24" s="4"/>
      <c r="B24" s="8" t="s">
        <v>37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</row>
    <row r="25" spans="1:18" ht="15.75">
      <c r="A25" s="4"/>
      <c r="B25" s="10" t="s">
        <v>35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6" spans="1:18" ht="15.75">
      <c r="A26" s="4"/>
      <c r="B26" s="10" t="s">
        <v>36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</row>
    <row r="27" spans="1:18" ht="15.75">
      <c r="A27" s="19"/>
      <c r="B27" s="8" t="s">
        <v>28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1:18" ht="15.75">
      <c r="A28" s="4">
        <v>6</v>
      </c>
      <c r="B28" s="11" t="s">
        <v>42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ht="15.75">
      <c r="A29" s="4"/>
      <c r="B29" s="15" t="s">
        <v>29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18" ht="15.75">
      <c r="A30" s="4"/>
      <c r="B30" s="15" t="s">
        <v>30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1:18" ht="15.75">
      <c r="A31" s="4"/>
      <c r="B31" s="15" t="s">
        <v>31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ht="15.75">
      <c r="A32" s="4"/>
      <c r="B32" s="15" t="s">
        <v>32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18" ht="15.75">
      <c r="A33" s="4"/>
      <c r="B33" s="15" t="s">
        <v>33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</row>
    <row r="34" spans="1:18" ht="15.75">
      <c r="A34" s="5"/>
      <c r="B34" s="17" t="s">
        <v>34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</row>
  </sheetData>
  <mergeCells count="10">
    <mergeCell ref="A2:A3"/>
    <mergeCell ref="B2:B3"/>
    <mergeCell ref="C2:D2"/>
    <mergeCell ref="E2:F2"/>
    <mergeCell ref="O2:P2"/>
    <mergeCell ref="Q2:R2"/>
    <mergeCell ref="G2:H2"/>
    <mergeCell ref="I2:J2"/>
    <mergeCell ref="K2:L2"/>
    <mergeCell ref="M2:N2"/>
  </mergeCells>
  <phoneticPr fontId="3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34"/>
  <sheetViews>
    <sheetView zoomScale="55" workbookViewId="0">
      <selection activeCell="C4" sqref="C4:R34"/>
    </sheetView>
  </sheetViews>
  <sheetFormatPr defaultRowHeight="15"/>
  <cols>
    <col min="1" max="1" width="2.75" customWidth="1"/>
    <col min="2" max="2" width="30.625" customWidth="1"/>
    <col min="3" max="3" width="6.875" customWidth="1"/>
    <col min="4" max="4" width="5.375" customWidth="1"/>
    <col min="5" max="5" width="7.375" customWidth="1"/>
    <col min="6" max="6" width="5.375" customWidth="1"/>
    <col min="7" max="7" width="7.375" customWidth="1"/>
    <col min="8" max="8" width="5.375" customWidth="1"/>
    <col min="9" max="9" width="7.25" customWidth="1"/>
    <col min="10" max="10" width="5.375" customWidth="1"/>
    <col min="11" max="11" width="7.375" customWidth="1"/>
    <col min="12" max="12" width="5.375" customWidth="1"/>
    <col min="13" max="13" width="6.25" customWidth="1"/>
    <col min="14" max="14" width="6.375" customWidth="1"/>
    <col min="15" max="15" width="7" customWidth="1"/>
    <col min="16" max="16" width="5.375" customWidth="1"/>
    <col min="17" max="17" width="7" customWidth="1"/>
    <col min="18" max="18" width="5.375" customWidth="1"/>
  </cols>
  <sheetData>
    <row r="1" spans="1:18" ht="20.25">
      <c r="C1" s="1" t="s">
        <v>0</v>
      </c>
      <c r="D1" s="1"/>
      <c r="E1" s="1"/>
      <c r="F1" s="1"/>
      <c r="G1" s="1"/>
      <c r="H1" s="1"/>
    </row>
    <row r="2" spans="1:18" ht="15.75">
      <c r="A2" s="722" t="s">
        <v>1</v>
      </c>
      <c r="B2" s="724" t="s">
        <v>2</v>
      </c>
      <c r="C2" s="720" t="s">
        <v>5</v>
      </c>
      <c r="D2" s="721"/>
      <c r="E2" s="720" t="s">
        <v>6</v>
      </c>
      <c r="F2" s="721"/>
      <c r="G2" s="720" t="s">
        <v>7</v>
      </c>
      <c r="H2" s="721"/>
      <c r="I2" s="720" t="s">
        <v>8</v>
      </c>
      <c r="J2" s="721"/>
      <c r="K2" s="720" t="s">
        <v>9</v>
      </c>
      <c r="L2" s="721"/>
      <c r="M2" s="720" t="s">
        <v>10</v>
      </c>
      <c r="N2" s="721"/>
      <c r="O2" s="720" t="s">
        <v>11</v>
      </c>
      <c r="P2" s="721"/>
      <c r="Q2" s="720" t="s">
        <v>12</v>
      </c>
      <c r="R2" s="721"/>
    </row>
    <row r="3" spans="1:18" ht="15.75">
      <c r="A3" s="723"/>
      <c r="B3" s="725"/>
      <c r="C3" s="2" t="s">
        <v>3</v>
      </c>
      <c r="D3" s="2" t="s">
        <v>4</v>
      </c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</row>
    <row r="4" spans="1:18">
      <c r="A4" s="3">
        <v>1</v>
      </c>
      <c r="B4" s="6" t="s">
        <v>40</v>
      </c>
      <c r="C4" s="21">
        <v>2</v>
      </c>
      <c r="D4" s="21"/>
      <c r="E4" s="21">
        <v>4</v>
      </c>
      <c r="F4" s="21"/>
      <c r="G4" s="21">
        <v>4</v>
      </c>
      <c r="H4" s="21"/>
      <c r="I4" s="21">
        <v>4</v>
      </c>
      <c r="J4" s="21"/>
      <c r="K4" s="21">
        <v>7</v>
      </c>
      <c r="L4" s="21"/>
      <c r="M4" s="21">
        <v>7</v>
      </c>
      <c r="N4" s="21"/>
      <c r="O4" s="21">
        <v>5</v>
      </c>
      <c r="P4" s="21"/>
      <c r="Q4" s="21">
        <v>6</v>
      </c>
      <c r="R4" s="21"/>
    </row>
    <row r="5" spans="1:18" ht="15.75">
      <c r="A5" s="4"/>
      <c r="B5" s="8" t="s">
        <v>43</v>
      </c>
      <c r="C5" s="20">
        <v>2</v>
      </c>
      <c r="D5" s="20"/>
      <c r="E5" s="20">
        <v>4</v>
      </c>
      <c r="F5" s="20"/>
      <c r="G5" s="20">
        <v>4</v>
      </c>
      <c r="H5" s="20"/>
      <c r="I5" s="20">
        <v>4</v>
      </c>
      <c r="J5" s="20"/>
      <c r="K5" s="20">
        <v>7</v>
      </c>
      <c r="L5" s="20"/>
      <c r="M5" s="20">
        <v>7</v>
      </c>
      <c r="N5" s="20"/>
      <c r="O5" s="20">
        <v>5</v>
      </c>
      <c r="P5" s="20"/>
      <c r="Q5" s="20">
        <v>6</v>
      </c>
      <c r="R5" s="20"/>
    </row>
    <row r="6" spans="1:18" ht="15.75">
      <c r="A6" s="4"/>
      <c r="B6" s="10" t="s">
        <v>16</v>
      </c>
    </row>
    <row r="7" spans="1:18" ht="15.75">
      <c r="A7" s="19"/>
      <c r="B7" s="10" t="s">
        <v>18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>
        <v>1</v>
      </c>
      <c r="R7" s="22"/>
    </row>
    <row r="8" spans="1:18">
      <c r="A8" s="4">
        <v>2</v>
      </c>
      <c r="B8" s="11" t="s">
        <v>13</v>
      </c>
      <c r="C8" s="20">
        <f>C9+C10</f>
        <v>35</v>
      </c>
      <c r="D8" s="20">
        <f t="shared" ref="D8:M8" si="0">D9+D10</f>
        <v>30</v>
      </c>
      <c r="E8" s="20">
        <f t="shared" si="0"/>
        <v>34</v>
      </c>
      <c r="F8" s="20">
        <f t="shared" si="0"/>
        <v>30</v>
      </c>
      <c r="G8" s="20">
        <f t="shared" si="0"/>
        <v>35</v>
      </c>
      <c r="H8" s="20">
        <f t="shared" si="0"/>
        <v>35</v>
      </c>
      <c r="I8" s="20">
        <f t="shared" si="0"/>
        <v>47</v>
      </c>
      <c r="J8" s="23">
        <f t="shared" si="0"/>
        <v>57</v>
      </c>
      <c r="K8" s="20">
        <f t="shared" si="0"/>
        <v>48</v>
      </c>
      <c r="L8" s="23">
        <f t="shared" si="0"/>
        <v>65</v>
      </c>
      <c r="M8" s="20">
        <f t="shared" si="0"/>
        <v>61</v>
      </c>
      <c r="N8" s="23">
        <f>N9+N10</f>
        <v>95</v>
      </c>
      <c r="O8" s="20">
        <f>O9+O10</f>
        <v>50</v>
      </c>
      <c r="P8" s="20">
        <f>P9+P10</f>
        <v>84</v>
      </c>
      <c r="Q8" s="20">
        <f>Q9+Q10</f>
        <v>61</v>
      </c>
      <c r="R8" s="20">
        <f>R9+R10</f>
        <v>96</v>
      </c>
    </row>
    <row r="9" spans="1:18" ht="15.75">
      <c r="A9" s="4"/>
      <c r="B9" s="8" t="s">
        <v>17</v>
      </c>
      <c r="C9" s="21">
        <v>19</v>
      </c>
      <c r="D9" s="21"/>
      <c r="E9" s="21">
        <v>18</v>
      </c>
      <c r="F9" s="21"/>
      <c r="G9" s="21">
        <v>17</v>
      </c>
      <c r="H9" s="21"/>
      <c r="I9" s="21">
        <v>19</v>
      </c>
      <c r="J9" s="21"/>
      <c r="K9" s="21">
        <v>15</v>
      </c>
      <c r="L9" s="24"/>
      <c r="M9" s="21">
        <v>14</v>
      </c>
      <c r="N9" s="24"/>
      <c r="O9" s="21">
        <v>8</v>
      </c>
      <c r="P9" s="21"/>
      <c r="Q9" s="21">
        <v>12</v>
      </c>
      <c r="R9" s="21"/>
    </row>
    <row r="10" spans="1:18" ht="15.75">
      <c r="A10" s="4"/>
      <c r="B10" s="10" t="s">
        <v>19</v>
      </c>
      <c r="C10" s="21">
        <v>16</v>
      </c>
      <c r="D10" s="21">
        <v>30</v>
      </c>
      <c r="E10" s="21">
        <v>16</v>
      </c>
      <c r="F10" s="21">
        <v>30</v>
      </c>
      <c r="G10" s="21">
        <f>53-35</f>
        <v>18</v>
      </c>
      <c r="H10" s="21">
        <v>35</v>
      </c>
      <c r="I10" s="21">
        <f>85-57</f>
        <v>28</v>
      </c>
      <c r="J10" s="24">
        <v>57</v>
      </c>
      <c r="K10" s="21">
        <f>98-65</f>
        <v>33</v>
      </c>
      <c r="L10" s="24">
        <v>65</v>
      </c>
      <c r="M10" s="21">
        <f>142-95</f>
        <v>47</v>
      </c>
      <c r="N10" s="24">
        <v>95</v>
      </c>
      <c r="O10" s="21">
        <f>126-84</f>
        <v>42</v>
      </c>
      <c r="P10" s="21">
        <v>84</v>
      </c>
      <c r="Q10" s="21">
        <f>145-96</f>
        <v>49</v>
      </c>
      <c r="R10" s="21">
        <v>96</v>
      </c>
    </row>
    <row r="11" spans="1:18" ht="15.75">
      <c r="A11" s="19"/>
      <c r="B11" s="10" t="s">
        <v>20</v>
      </c>
      <c r="C11" s="22">
        <v>14</v>
      </c>
      <c r="D11" s="22">
        <v>26</v>
      </c>
      <c r="E11" s="22">
        <v>13</v>
      </c>
      <c r="F11" s="22">
        <v>26</v>
      </c>
      <c r="G11" s="22">
        <f>37-24</f>
        <v>13</v>
      </c>
      <c r="H11" s="22">
        <v>24</v>
      </c>
      <c r="I11" s="22">
        <f>68-45</f>
        <v>23</v>
      </c>
      <c r="J11" s="25">
        <v>45</v>
      </c>
      <c r="K11" s="22">
        <f>64-43</f>
        <v>21</v>
      </c>
      <c r="L11" s="25">
        <v>43</v>
      </c>
      <c r="M11" s="22">
        <f>73-49</f>
        <v>24</v>
      </c>
      <c r="N11" s="25">
        <v>49</v>
      </c>
      <c r="O11" s="22">
        <f>70-47</f>
        <v>23</v>
      </c>
      <c r="P11" s="25">
        <v>47</v>
      </c>
      <c r="Q11" s="22">
        <f>79-53</f>
        <v>26</v>
      </c>
      <c r="R11" s="25">
        <v>53</v>
      </c>
    </row>
    <row r="12" spans="1:18">
      <c r="A12" s="4">
        <v>3</v>
      </c>
      <c r="B12" s="11" t="s">
        <v>14</v>
      </c>
      <c r="C12" s="20">
        <f>C13+C14</f>
        <v>536</v>
      </c>
      <c r="D12" s="23">
        <f t="shared" ref="D12:R12" si="1">D13+D14</f>
        <v>773</v>
      </c>
      <c r="E12" s="20">
        <f t="shared" si="1"/>
        <v>644</v>
      </c>
      <c r="F12" s="23">
        <f t="shared" si="1"/>
        <v>813</v>
      </c>
      <c r="G12" s="20">
        <f t="shared" si="1"/>
        <v>611</v>
      </c>
      <c r="H12" s="20">
        <f t="shared" si="1"/>
        <v>900</v>
      </c>
      <c r="I12" s="20">
        <f t="shared" si="1"/>
        <v>1064</v>
      </c>
      <c r="J12" s="23">
        <f t="shared" si="1"/>
        <v>1701</v>
      </c>
      <c r="K12" s="20">
        <f t="shared" si="1"/>
        <v>1103</v>
      </c>
      <c r="L12" s="23">
        <f t="shared" si="1"/>
        <v>1881</v>
      </c>
      <c r="M12" s="20">
        <f t="shared" si="1"/>
        <v>1424</v>
      </c>
      <c r="N12" s="23">
        <f t="shared" si="1"/>
        <v>2502</v>
      </c>
      <c r="O12" s="20">
        <f t="shared" si="1"/>
        <v>1125</v>
      </c>
      <c r="P12" s="23">
        <f t="shared" si="1"/>
        <v>2021</v>
      </c>
      <c r="Q12" s="20">
        <f t="shared" si="1"/>
        <v>1302</v>
      </c>
      <c r="R12" s="20">
        <f t="shared" si="1"/>
        <v>2344</v>
      </c>
    </row>
    <row r="13" spans="1:18" ht="15.75">
      <c r="A13" s="4"/>
      <c r="B13" s="8" t="s">
        <v>39</v>
      </c>
      <c r="C13" s="21">
        <v>149</v>
      </c>
      <c r="D13" s="21"/>
      <c r="E13" s="21">
        <v>142</v>
      </c>
      <c r="F13" s="24"/>
      <c r="G13" s="21">
        <v>154</v>
      </c>
      <c r="H13" s="21"/>
      <c r="I13" s="21">
        <v>160</v>
      </c>
      <c r="J13" s="21"/>
      <c r="K13" s="21">
        <v>163</v>
      </c>
      <c r="L13" s="24"/>
      <c r="M13" s="21">
        <v>173</v>
      </c>
      <c r="N13" s="24"/>
      <c r="O13" s="21">
        <v>114</v>
      </c>
      <c r="P13" s="24"/>
      <c r="Q13" s="21">
        <v>130</v>
      </c>
      <c r="R13" s="21"/>
    </row>
    <row r="14" spans="1:18" ht="15.75">
      <c r="A14" s="4"/>
      <c r="B14" s="10" t="s">
        <v>21</v>
      </c>
      <c r="C14" s="21">
        <f>1160-773</f>
        <v>387</v>
      </c>
      <c r="D14" s="24">
        <v>773</v>
      </c>
      <c r="E14" s="21">
        <v>502</v>
      </c>
      <c r="F14" s="24">
        <v>813</v>
      </c>
      <c r="G14" s="21">
        <v>457</v>
      </c>
      <c r="H14" s="24">
        <v>900</v>
      </c>
      <c r="I14" s="24">
        <v>904</v>
      </c>
      <c r="J14" s="24">
        <v>1701</v>
      </c>
      <c r="K14" s="21">
        <v>940</v>
      </c>
      <c r="L14" s="24">
        <v>1881</v>
      </c>
      <c r="M14" s="21">
        <v>1251</v>
      </c>
      <c r="N14" s="24">
        <v>2502</v>
      </c>
      <c r="O14" s="21">
        <v>1011</v>
      </c>
      <c r="P14" s="24">
        <v>2021</v>
      </c>
      <c r="Q14" s="21">
        <v>1172</v>
      </c>
      <c r="R14" s="21">
        <v>2344</v>
      </c>
    </row>
    <row r="15" spans="1:18" ht="15.75">
      <c r="A15" s="19"/>
      <c r="B15" s="10" t="s">
        <v>22</v>
      </c>
      <c r="C15" s="22">
        <f>1044-696</f>
        <v>348</v>
      </c>
      <c r="D15" s="22">
        <v>696</v>
      </c>
      <c r="E15" s="22">
        <v>371</v>
      </c>
      <c r="F15" s="25">
        <v>742</v>
      </c>
      <c r="G15" s="22">
        <v>339</v>
      </c>
      <c r="H15" s="25">
        <v>679</v>
      </c>
      <c r="I15" s="25">
        <v>774</v>
      </c>
      <c r="J15" s="25">
        <v>1548</v>
      </c>
      <c r="K15" s="22">
        <v>864</v>
      </c>
      <c r="L15" s="25">
        <v>1727</v>
      </c>
      <c r="M15" s="22">
        <v>523</v>
      </c>
      <c r="N15" s="25">
        <v>1045</v>
      </c>
      <c r="O15" s="22">
        <v>482</v>
      </c>
      <c r="P15" s="25">
        <v>965</v>
      </c>
      <c r="Q15" s="22">
        <v>494</v>
      </c>
      <c r="R15" s="25">
        <v>1007</v>
      </c>
    </row>
    <row r="16" spans="1:18">
      <c r="A16" s="4">
        <v>4</v>
      </c>
      <c r="B16" s="11" t="s">
        <v>15</v>
      </c>
      <c r="C16" s="26">
        <v>103</v>
      </c>
      <c r="D16" s="26"/>
      <c r="E16" s="26">
        <v>105</v>
      </c>
      <c r="F16" s="26"/>
      <c r="G16" s="26">
        <v>110</v>
      </c>
      <c r="H16" s="26"/>
      <c r="I16" s="26">
        <v>146</v>
      </c>
      <c r="J16" s="26"/>
      <c r="K16" s="26">
        <v>161</v>
      </c>
      <c r="L16" s="26"/>
      <c r="M16" s="26">
        <v>214</v>
      </c>
      <c r="N16" s="26"/>
      <c r="O16" s="26">
        <v>296</v>
      </c>
      <c r="P16" s="26"/>
      <c r="Q16" s="26">
        <v>224</v>
      </c>
      <c r="R16" s="27"/>
    </row>
    <row r="17" spans="1:18" ht="15.75">
      <c r="A17" s="4"/>
      <c r="B17" s="8" t="s">
        <v>38</v>
      </c>
      <c r="C17" s="28">
        <v>5</v>
      </c>
      <c r="D17" s="28"/>
      <c r="E17" s="28">
        <v>5</v>
      </c>
      <c r="F17" s="28"/>
      <c r="G17" s="28">
        <v>7</v>
      </c>
      <c r="H17" s="28"/>
      <c r="I17" s="28">
        <v>7</v>
      </c>
      <c r="J17" s="28"/>
      <c r="K17" s="28">
        <v>13</v>
      </c>
      <c r="L17" s="28"/>
      <c r="M17" s="28">
        <v>13</v>
      </c>
      <c r="N17" s="28"/>
      <c r="O17" s="28">
        <v>11</v>
      </c>
      <c r="P17" s="28"/>
      <c r="Q17" s="28">
        <v>18</v>
      </c>
      <c r="R17" s="27"/>
    </row>
    <row r="18" spans="1:18" ht="15.75">
      <c r="A18" s="4"/>
      <c r="B18" s="10" t="s">
        <v>23</v>
      </c>
      <c r="C18" s="28">
        <v>95</v>
      </c>
      <c r="D18" s="28">
        <v>30</v>
      </c>
      <c r="E18" s="28">
        <v>97</v>
      </c>
      <c r="F18" s="28">
        <v>30</v>
      </c>
      <c r="G18" s="28">
        <v>97</v>
      </c>
      <c r="H18" s="28">
        <v>35</v>
      </c>
      <c r="I18" s="28">
        <v>131</v>
      </c>
      <c r="J18" s="28">
        <v>57</v>
      </c>
      <c r="K18" s="28">
        <v>139</v>
      </c>
      <c r="L18" s="28">
        <v>65</v>
      </c>
      <c r="M18" s="28">
        <v>178</v>
      </c>
      <c r="N18" s="28">
        <v>95</v>
      </c>
      <c r="O18" s="28">
        <v>167</v>
      </c>
      <c r="P18" s="28">
        <v>84</v>
      </c>
      <c r="Q18" s="28">
        <v>190</v>
      </c>
      <c r="R18" s="27">
        <v>96</v>
      </c>
    </row>
    <row r="19" spans="1:18" ht="15.75">
      <c r="A19" s="4"/>
      <c r="B19" s="10" t="s">
        <v>24</v>
      </c>
      <c r="C19" s="28">
        <v>42</v>
      </c>
      <c r="D19" s="28"/>
      <c r="E19" s="28">
        <v>36</v>
      </c>
      <c r="F19" s="28"/>
      <c r="G19" s="28">
        <v>17</v>
      </c>
      <c r="H19" s="28"/>
      <c r="I19" s="28">
        <v>14</v>
      </c>
      <c r="J19" s="28"/>
      <c r="K19" s="28">
        <v>19</v>
      </c>
      <c r="L19" s="28"/>
      <c r="M19" s="28">
        <v>30</v>
      </c>
      <c r="N19" s="28"/>
      <c r="O19" s="28">
        <v>11</v>
      </c>
      <c r="P19" s="28"/>
      <c r="Q19" s="28">
        <v>12</v>
      </c>
      <c r="R19" s="27"/>
    </row>
    <row r="20" spans="1:18" ht="15.75">
      <c r="A20" s="4"/>
      <c r="B20" s="10" t="s">
        <v>25</v>
      </c>
      <c r="C20" s="28">
        <v>53</v>
      </c>
      <c r="D20" s="28">
        <v>30</v>
      </c>
      <c r="E20" s="28">
        <v>61</v>
      </c>
      <c r="F20" s="28">
        <v>30</v>
      </c>
      <c r="G20" s="28">
        <v>80</v>
      </c>
      <c r="H20" s="28">
        <v>35</v>
      </c>
      <c r="I20" s="28">
        <v>117</v>
      </c>
      <c r="J20" s="28">
        <v>57</v>
      </c>
      <c r="K20" s="28">
        <v>120</v>
      </c>
      <c r="L20" s="28">
        <v>65</v>
      </c>
      <c r="M20" s="28">
        <v>148</v>
      </c>
      <c r="N20" s="28">
        <v>95</v>
      </c>
      <c r="O20" s="28">
        <v>145</v>
      </c>
      <c r="P20" s="28">
        <v>84</v>
      </c>
      <c r="Q20" s="28">
        <v>181</v>
      </c>
      <c r="R20" s="27">
        <v>96</v>
      </c>
    </row>
    <row r="21" spans="1:18" ht="15.75">
      <c r="A21" s="4"/>
      <c r="B21" s="10" t="s">
        <v>26</v>
      </c>
      <c r="C21" s="28">
        <v>90</v>
      </c>
      <c r="D21" s="28">
        <v>25</v>
      </c>
      <c r="E21" s="28">
        <v>90</v>
      </c>
      <c r="F21" s="28">
        <v>25</v>
      </c>
      <c r="G21" s="28">
        <v>93</v>
      </c>
      <c r="H21" s="28">
        <v>31</v>
      </c>
      <c r="I21" s="28">
        <v>110</v>
      </c>
      <c r="J21" s="28">
        <v>36</v>
      </c>
      <c r="K21" s="28">
        <v>117</v>
      </c>
      <c r="L21" s="28">
        <v>45</v>
      </c>
      <c r="M21" s="28">
        <v>145</v>
      </c>
      <c r="N21" s="28">
        <v>70</v>
      </c>
      <c r="O21" s="28">
        <v>155</v>
      </c>
      <c r="P21" s="28">
        <v>80</v>
      </c>
      <c r="Q21" s="28">
        <v>192</v>
      </c>
      <c r="R21" s="27">
        <v>95</v>
      </c>
    </row>
    <row r="22" spans="1:18" ht="15.75">
      <c r="A22" s="19"/>
      <c r="B22" s="10" t="s">
        <v>27</v>
      </c>
      <c r="C22" s="28">
        <v>3</v>
      </c>
      <c r="D22" s="28"/>
      <c r="E22" s="28">
        <v>3</v>
      </c>
      <c r="F22" s="28"/>
      <c r="G22" s="28">
        <v>6</v>
      </c>
      <c r="H22" s="28"/>
      <c r="I22" s="28">
        <v>8</v>
      </c>
      <c r="J22" s="28"/>
      <c r="K22" s="28">
        <v>9</v>
      </c>
      <c r="L22" s="28"/>
      <c r="M22" s="28">
        <v>23</v>
      </c>
      <c r="N22" s="28"/>
      <c r="O22" s="28">
        <v>10</v>
      </c>
      <c r="P22" s="28"/>
      <c r="Q22" s="28">
        <v>16</v>
      </c>
      <c r="R22" s="29"/>
    </row>
    <row r="23" spans="1:18">
      <c r="A23" s="4">
        <v>5</v>
      </c>
      <c r="B23" s="11" t="s">
        <v>41</v>
      </c>
      <c r="C23" s="20">
        <f>SUM(C24:C26)</f>
        <v>65</v>
      </c>
      <c r="D23" s="20">
        <f t="shared" ref="D23:R23" si="2">SUM(D24:D26)</f>
        <v>0</v>
      </c>
      <c r="E23" s="20">
        <f t="shared" si="2"/>
        <v>64</v>
      </c>
      <c r="F23" s="20">
        <f t="shared" si="2"/>
        <v>0</v>
      </c>
      <c r="G23" s="20">
        <f t="shared" si="2"/>
        <v>49</v>
      </c>
      <c r="H23" s="20">
        <f t="shared" si="2"/>
        <v>23</v>
      </c>
      <c r="I23" s="20">
        <f t="shared" si="2"/>
        <v>49</v>
      </c>
      <c r="J23" s="20">
        <f t="shared" si="2"/>
        <v>55</v>
      </c>
      <c r="K23" s="20">
        <f t="shared" si="2"/>
        <v>49</v>
      </c>
      <c r="L23" s="20">
        <f t="shared" si="2"/>
        <v>67</v>
      </c>
      <c r="M23" s="20">
        <f t="shared" si="2"/>
        <v>49</v>
      </c>
      <c r="N23" s="20">
        <f t="shared" si="2"/>
        <v>107</v>
      </c>
      <c r="O23" s="20">
        <f t="shared" si="2"/>
        <v>22</v>
      </c>
      <c r="P23" s="20">
        <f t="shared" si="2"/>
        <v>45</v>
      </c>
      <c r="Q23" s="20">
        <f t="shared" si="2"/>
        <v>23</v>
      </c>
      <c r="R23" s="20">
        <f t="shared" si="2"/>
        <v>47</v>
      </c>
    </row>
    <row r="24" spans="1:18" ht="15.75">
      <c r="A24" s="4"/>
      <c r="B24" s="8" t="s">
        <v>37</v>
      </c>
      <c r="C24" s="21"/>
      <c r="D24" s="21"/>
      <c r="E24" s="21"/>
      <c r="F24" s="21"/>
      <c r="G24" s="21"/>
      <c r="H24" s="21"/>
      <c r="I24" s="21">
        <v>20</v>
      </c>
      <c r="J24" s="21">
        <v>10</v>
      </c>
      <c r="K24" s="21">
        <v>37</v>
      </c>
      <c r="L24" s="21">
        <v>20</v>
      </c>
      <c r="M24" s="21">
        <v>37</v>
      </c>
      <c r="N24" s="21">
        <v>20</v>
      </c>
      <c r="O24" s="21">
        <v>17</v>
      </c>
      <c r="P24" s="21">
        <v>20</v>
      </c>
      <c r="Q24" s="21">
        <v>17</v>
      </c>
      <c r="R24" s="21">
        <v>20</v>
      </c>
    </row>
    <row r="25" spans="1:18" ht="15.75">
      <c r="A25" s="4"/>
      <c r="B25" s="10" t="s">
        <v>35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15.75">
      <c r="A26" s="4"/>
      <c r="B26" s="10" t="s">
        <v>36</v>
      </c>
      <c r="C26" s="21">
        <v>65</v>
      </c>
      <c r="D26" s="21"/>
      <c r="E26" s="21">
        <v>64</v>
      </c>
      <c r="F26" s="21"/>
      <c r="G26" s="21">
        <v>49</v>
      </c>
      <c r="H26" s="21">
        <v>23</v>
      </c>
      <c r="I26" s="21">
        <v>29</v>
      </c>
      <c r="J26" s="21">
        <v>45</v>
      </c>
      <c r="K26" s="21">
        <v>12</v>
      </c>
      <c r="L26" s="21">
        <v>47</v>
      </c>
      <c r="M26" s="21">
        <v>12</v>
      </c>
      <c r="N26" s="21">
        <v>87</v>
      </c>
      <c r="O26" s="21">
        <v>5</v>
      </c>
      <c r="P26" s="21">
        <v>25</v>
      </c>
      <c r="Q26" s="21">
        <v>6</v>
      </c>
      <c r="R26" s="21">
        <v>27</v>
      </c>
    </row>
    <row r="27" spans="1:18" ht="15.75">
      <c r="A27" s="19"/>
      <c r="B27" s="8" t="s">
        <v>28</v>
      </c>
      <c r="C27" s="22">
        <v>17</v>
      </c>
      <c r="D27" s="22"/>
      <c r="E27" s="22">
        <v>17</v>
      </c>
      <c r="F27" s="22"/>
      <c r="G27" s="22">
        <v>21</v>
      </c>
      <c r="H27" s="22"/>
      <c r="I27" s="22">
        <v>28</v>
      </c>
      <c r="J27" s="22"/>
      <c r="K27" s="22">
        <v>37</v>
      </c>
      <c r="L27" s="22"/>
      <c r="M27" s="22">
        <v>37</v>
      </c>
      <c r="N27" s="22"/>
      <c r="O27" s="22">
        <v>32</v>
      </c>
      <c r="P27" s="22"/>
      <c r="Q27" s="22">
        <v>35</v>
      </c>
      <c r="R27" s="22"/>
    </row>
    <row r="28" spans="1:18">
      <c r="A28" s="4">
        <v>6</v>
      </c>
      <c r="B28" s="11" t="s">
        <v>42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1:18" ht="15.75">
      <c r="A29" s="4"/>
      <c r="B29" s="15" t="s">
        <v>29</v>
      </c>
      <c r="C29" s="21">
        <f t="shared" ref="C29:R29" si="3">C12/C8</f>
        <v>15.314285714285715</v>
      </c>
      <c r="D29" s="21">
        <f t="shared" si="3"/>
        <v>25.766666666666666</v>
      </c>
      <c r="E29" s="21">
        <f t="shared" si="3"/>
        <v>18.941176470588236</v>
      </c>
      <c r="F29" s="21">
        <f t="shared" si="3"/>
        <v>27.1</v>
      </c>
      <c r="G29" s="21">
        <f t="shared" si="3"/>
        <v>17.457142857142856</v>
      </c>
      <c r="H29" s="21">
        <f t="shared" si="3"/>
        <v>25.714285714285715</v>
      </c>
      <c r="I29" s="21">
        <f t="shared" si="3"/>
        <v>22.638297872340427</v>
      </c>
      <c r="J29" s="21">
        <f t="shared" si="3"/>
        <v>29.842105263157894</v>
      </c>
      <c r="K29" s="21">
        <f t="shared" si="3"/>
        <v>22.979166666666668</v>
      </c>
      <c r="L29" s="21">
        <f t="shared" si="3"/>
        <v>28.938461538461539</v>
      </c>
      <c r="M29" s="21">
        <f t="shared" si="3"/>
        <v>23.344262295081968</v>
      </c>
      <c r="N29" s="21">
        <f t="shared" si="3"/>
        <v>26.336842105263159</v>
      </c>
      <c r="O29" s="21">
        <f t="shared" si="3"/>
        <v>22.5</v>
      </c>
      <c r="P29" s="21">
        <f t="shared" si="3"/>
        <v>24.05952380952381</v>
      </c>
      <c r="Q29" s="21">
        <f t="shared" si="3"/>
        <v>21.344262295081968</v>
      </c>
      <c r="R29" s="21">
        <f t="shared" si="3"/>
        <v>24.416666666666668</v>
      </c>
    </row>
    <row r="30" spans="1:18" ht="15.75">
      <c r="A30" s="4"/>
      <c r="B30" s="15" t="s">
        <v>30</v>
      </c>
      <c r="C30" s="21">
        <f>C18/C8</f>
        <v>2.7142857142857144</v>
      </c>
      <c r="D30" s="21">
        <f t="shared" ref="D30:R30" si="4">D18/D8</f>
        <v>1</v>
      </c>
      <c r="E30" s="21">
        <f t="shared" si="4"/>
        <v>2.8529411764705883</v>
      </c>
      <c r="F30" s="21">
        <f t="shared" si="4"/>
        <v>1</v>
      </c>
      <c r="G30" s="21">
        <f t="shared" si="4"/>
        <v>2.7714285714285714</v>
      </c>
      <c r="H30" s="21">
        <f t="shared" si="4"/>
        <v>1</v>
      </c>
      <c r="I30" s="21">
        <f t="shared" si="4"/>
        <v>2.7872340425531914</v>
      </c>
      <c r="J30" s="21">
        <f t="shared" si="4"/>
        <v>1</v>
      </c>
      <c r="K30" s="21">
        <f t="shared" si="4"/>
        <v>2.8958333333333335</v>
      </c>
      <c r="L30" s="21">
        <f t="shared" si="4"/>
        <v>1</v>
      </c>
      <c r="M30" s="21">
        <f t="shared" si="4"/>
        <v>2.918032786885246</v>
      </c>
      <c r="N30" s="21">
        <f t="shared" si="4"/>
        <v>1</v>
      </c>
      <c r="O30" s="21">
        <f t="shared" si="4"/>
        <v>3.34</v>
      </c>
      <c r="P30" s="21">
        <f t="shared" si="4"/>
        <v>1</v>
      </c>
      <c r="Q30" s="21">
        <f t="shared" si="4"/>
        <v>3.1147540983606556</v>
      </c>
      <c r="R30" s="21">
        <f t="shared" si="4"/>
        <v>1</v>
      </c>
    </row>
    <row r="31" spans="1:18" ht="15.75">
      <c r="A31" s="4"/>
      <c r="B31" s="15" t="s">
        <v>31</v>
      </c>
      <c r="C31" s="30">
        <f>(C32+C33)/2</f>
        <v>9.25</v>
      </c>
      <c r="D31" s="31"/>
      <c r="E31" s="30">
        <f>(E32+E33)/2</f>
        <v>9.7049999999999983</v>
      </c>
      <c r="F31" s="31"/>
      <c r="G31" s="30">
        <f>(G32+G33)/2</f>
        <v>10.51</v>
      </c>
      <c r="H31" s="31"/>
      <c r="I31" s="30">
        <f>(I32+I33)/2</f>
        <v>18.814999999999998</v>
      </c>
      <c r="J31" s="31"/>
      <c r="K31" s="30">
        <f>(K32+K33)/2</f>
        <v>22.3</v>
      </c>
      <c r="L31" s="31"/>
      <c r="M31" s="30">
        <v>29</v>
      </c>
      <c r="N31" s="31"/>
      <c r="O31" s="30">
        <f>(O32+O33)/2</f>
        <v>31.7</v>
      </c>
      <c r="P31" s="31"/>
      <c r="Q31" s="30">
        <v>36.700000000000003</v>
      </c>
      <c r="R31" s="31"/>
    </row>
    <row r="32" spans="1:18" ht="15.75">
      <c r="A32" s="4"/>
      <c r="B32" s="15" t="s">
        <v>32</v>
      </c>
      <c r="C32" s="30">
        <v>2.1</v>
      </c>
      <c r="D32" s="31"/>
      <c r="E32" s="30">
        <v>2.5099999999999998</v>
      </c>
      <c r="F32" s="31"/>
      <c r="G32" s="30">
        <v>2.72</v>
      </c>
      <c r="H32" s="31"/>
      <c r="I32" s="30">
        <v>2.83</v>
      </c>
      <c r="J32" s="31"/>
      <c r="K32" s="30">
        <v>3.1</v>
      </c>
      <c r="L32" s="31"/>
      <c r="M32" s="30">
        <v>2.61</v>
      </c>
      <c r="N32" s="31"/>
      <c r="O32" s="30">
        <v>3</v>
      </c>
      <c r="P32" s="31"/>
      <c r="Q32" s="30">
        <v>2.5</v>
      </c>
      <c r="R32" s="31"/>
    </row>
    <row r="33" spans="1:18" ht="15.75">
      <c r="A33" s="4"/>
      <c r="B33" s="15" t="s">
        <v>33</v>
      </c>
      <c r="C33" s="30">
        <v>16.399999999999999</v>
      </c>
      <c r="D33" s="31"/>
      <c r="E33" s="30">
        <v>16.899999999999999</v>
      </c>
      <c r="F33" s="31"/>
      <c r="G33" s="30">
        <v>18.3</v>
      </c>
      <c r="H33" s="31"/>
      <c r="I33" s="30">
        <v>34.799999999999997</v>
      </c>
      <c r="J33" s="31"/>
      <c r="K33" s="30">
        <v>41.5</v>
      </c>
      <c r="L33" s="31"/>
      <c r="M33" s="30">
        <v>53.4</v>
      </c>
      <c r="N33" s="31"/>
      <c r="O33" s="30">
        <v>60.4</v>
      </c>
      <c r="P33" s="31"/>
      <c r="Q33" s="30">
        <v>69.8</v>
      </c>
      <c r="R33" s="31"/>
    </row>
    <row r="34" spans="1:18" ht="15.75">
      <c r="A34" s="5"/>
      <c r="B34" s="17" t="s">
        <v>34</v>
      </c>
      <c r="C34" s="32">
        <v>32.5</v>
      </c>
      <c r="D34" s="33"/>
      <c r="E34" s="32">
        <v>33.6</v>
      </c>
      <c r="F34" s="33"/>
      <c r="G34" s="32">
        <v>41</v>
      </c>
      <c r="H34" s="33"/>
      <c r="I34" s="32">
        <v>55.1</v>
      </c>
      <c r="J34" s="33"/>
      <c r="K34" s="32">
        <v>67.3</v>
      </c>
      <c r="L34" s="33"/>
      <c r="M34" s="32">
        <v>79.040000000000006</v>
      </c>
      <c r="N34" s="33"/>
      <c r="O34" s="32">
        <v>91.2</v>
      </c>
      <c r="P34" s="33"/>
      <c r="Q34" s="32">
        <v>94.6</v>
      </c>
      <c r="R34" s="33"/>
    </row>
  </sheetData>
  <mergeCells count="10">
    <mergeCell ref="A2:A3"/>
    <mergeCell ref="B2:B3"/>
    <mergeCell ref="C2:D2"/>
    <mergeCell ref="E2:F2"/>
    <mergeCell ref="O2:P2"/>
    <mergeCell ref="Q2:R2"/>
    <mergeCell ref="G2:H2"/>
    <mergeCell ref="I2:J2"/>
    <mergeCell ref="K2:L2"/>
    <mergeCell ref="M2:N2"/>
  </mergeCells>
  <phoneticPr fontId="3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R34"/>
  <sheetViews>
    <sheetView zoomScale="70" workbookViewId="0">
      <selection activeCell="C4" sqref="C4:R34"/>
    </sheetView>
  </sheetViews>
  <sheetFormatPr defaultRowHeight="15"/>
  <cols>
    <col min="1" max="1" width="2.75" customWidth="1"/>
    <col min="2" max="2" width="30.625" customWidth="1"/>
    <col min="3" max="3" width="6.875" customWidth="1"/>
    <col min="4" max="4" width="5.375" customWidth="1"/>
    <col min="5" max="5" width="7.375" customWidth="1"/>
    <col min="6" max="6" width="5.375" customWidth="1"/>
    <col min="7" max="7" width="7.375" customWidth="1"/>
    <col min="8" max="8" width="5.375" customWidth="1"/>
    <col min="9" max="9" width="7.25" customWidth="1"/>
    <col min="10" max="10" width="5.375" customWidth="1"/>
    <col min="11" max="11" width="7.375" customWidth="1"/>
    <col min="12" max="12" width="5.375" customWidth="1"/>
    <col min="13" max="13" width="6.25" customWidth="1"/>
    <col min="14" max="14" width="6.375" customWidth="1"/>
    <col min="15" max="15" width="7" customWidth="1"/>
    <col min="16" max="16" width="5.375" customWidth="1"/>
    <col min="17" max="17" width="7" customWidth="1"/>
    <col min="18" max="18" width="5.375" customWidth="1"/>
  </cols>
  <sheetData>
    <row r="1" spans="1:18" ht="20.25">
      <c r="C1" s="1" t="s">
        <v>0</v>
      </c>
      <c r="D1" s="1"/>
      <c r="E1" s="1"/>
      <c r="F1" s="1"/>
      <c r="G1" s="1"/>
      <c r="H1" s="1"/>
    </row>
    <row r="2" spans="1:18" ht="15.75">
      <c r="A2" s="722" t="s">
        <v>1</v>
      </c>
      <c r="B2" s="724" t="s">
        <v>2</v>
      </c>
      <c r="C2" s="720" t="s">
        <v>5</v>
      </c>
      <c r="D2" s="721"/>
      <c r="E2" s="720" t="s">
        <v>6</v>
      </c>
      <c r="F2" s="721"/>
      <c r="G2" s="720" t="s">
        <v>7</v>
      </c>
      <c r="H2" s="721"/>
      <c r="I2" s="720" t="s">
        <v>8</v>
      </c>
      <c r="J2" s="721"/>
      <c r="K2" s="720" t="s">
        <v>9</v>
      </c>
      <c r="L2" s="721"/>
      <c r="M2" s="720" t="s">
        <v>10</v>
      </c>
      <c r="N2" s="721"/>
      <c r="O2" s="720" t="s">
        <v>11</v>
      </c>
      <c r="P2" s="721"/>
      <c r="Q2" s="720" t="s">
        <v>12</v>
      </c>
      <c r="R2" s="721"/>
    </row>
    <row r="3" spans="1:18" ht="15.75">
      <c r="A3" s="723"/>
      <c r="B3" s="725"/>
      <c r="C3" s="2" t="s">
        <v>3</v>
      </c>
      <c r="D3" s="2" t="s">
        <v>4</v>
      </c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</row>
    <row r="4" spans="1:18" ht="15.75">
      <c r="A4" s="3">
        <v>1</v>
      </c>
      <c r="B4" s="6" t="s">
        <v>40</v>
      </c>
      <c r="C4" s="7">
        <v>1</v>
      </c>
      <c r="D4" s="7">
        <v>10</v>
      </c>
      <c r="E4" s="7">
        <v>2</v>
      </c>
      <c r="F4" s="7">
        <v>9</v>
      </c>
      <c r="G4" s="7">
        <v>2</v>
      </c>
      <c r="H4" s="7">
        <v>14</v>
      </c>
      <c r="I4" s="7">
        <v>2</v>
      </c>
      <c r="J4" s="7">
        <v>18</v>
      </c>
      <c r="K4" s="7">
        <v>2</v>
      </c>
      <c r="L4" s="7">
        <v>18</v>
      </c>
      <c r="M4" s="7">
        <v>2</v>
      </c>
      <c r="N4" s="7">
        <v>20</v>
      </c>
      <c r="O4" s="7">
        <v>2</v>
      </c>
      <c r="P4" s="7">
        <v>24</v>
      </c>
      <c r="Q4" s="7">
        <v>4</v>
      </c>
      <c r="R4" s="7">
        <v>45</v>
      </c>
    </row>
    <row r="5" spans="1:18" ht="15.75">
      <c r="A5" s="4"/>
      <c r="B5" s="8" t="s">
        <v>43</v>
      </c>
      <c r="C5" s="9">
        <v>1</v>
      </c>
      <c r="D5" s="9">
        <v>10</v>
      </c>
      <c r="E5" s="9">
        <v>2</v>
      </c>
      <c r="F5" s="9">
        <v>9</v>
      </c>
      <c r="G5" s="9">
        <v>2</v>
      </c>
      <c r="H5" s="9">
        <v>14</v>
      </c>
      <c r="I5" s="9">
        <v>2</v>
      </c>
      <c r="J5" s="9">
        <v>18</v>
      </c>
      <c r="K5" s="9">
        <v>2</v>
      </c>
      <c r="L5" s="9">
        <v>18</v>
      </c>
      <c r="M5" s="9">
        <v>2</v>
      </c>
      <c r="N5" s="9">
        <v>20</v>
      </c>
      <c r="O5" s="9">
        <v>2</v>
      </c>
      <c r="P5" s="9">
        <v>24</v>
      </c>
      <c r="Q5" s="9">
        <v>3</v>
      </c>
      <c r="R5" s="9">
        <v>45</v>
      </c>
    </row>
    <row r="6" spans="1:18" ht="15.75">
      <c r="A6" s="4"/>
      <c r="B6" s="10" t="s">
        <v>16</v>
      </c>
      <c r="C6" s="9"/>
      <c r="D6" s="9"/>
      <c r="E6" s="9"/>
      <c r="F6" s="9" t="s">
        <v>59</v>
      </c>
      <c r="G6" s="9"/>
      <c r="H6" s="9"/>
      <c r="I6" s="9"/>
      <c r="J6" s="9"/>
      <c r="K6" s="9"/>
      <c r="L6" s="9"/>
      <c r="M6" s="9"/>
      <c r="N6" s="9"/>
      <c r="O6" s="9"/>
      <c r="P6" s="9"/>
      <c r="Q6" s="9">
        <v>0</v>
      </c>
      <c r="R6" s="9">
        <v>0</v>
      </c>
    </row>
    <row r="7" spans="1:18" ht="15.75">
      <c r="A7" s="19"/>
      <c r="B7" s="10" t="s">
        <v>18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>
        <v>1</v>
      </c>
      <c r="R7" s="9">
        <v>0</v>
      </c>
    </row>
    <row r="8" spans="1:18" ht="15.75">
      <c r="A8" s="4">
        <v>2</v>
      </c>
      <c r="B8" s="11" t="s">
        <v>13</v>
      </c>
      <c r="C8" s="9">
        <v>10</v>
      </c>
      <c r="D8" s="9">
        <v>15</v>
      </c>
      <c r="E8" s="9">
        <v>10</v>
      </c>
      <c r="F8" s="9">
        <v>14</v>
      </c>
      <c r="G8" s="9">
        <v>13</v>
      </c>
      <c r="H8" s="9">
        <v>16</v>
      </c>
      <c r="I8" s="9">
        <v>13</v>
      </c>
      <c r="J8" s="9">
        <v>26</v>
      </c>
      <c r="K8" s="9">
        <v>16</v>
      </c>
      <c r="L8" s="9">
        <v>28</v>
      </c>
      <c r="M8" s="9">
        <v>15</v>
      </c>
      <c r="N8" s="9">
        <v>36</v>
      </c>
      <c r="O8" s="9">
        <v>20</v>
      </c>
      <c r="P8" s="9">
        <v>65</v>
      </c>
      <c r="Q8" s="9">
        <v>26</v>
      </c>
      <c r="R8" s="9">
        <v>58</v>
      </c>
    </row>
    <row r="9" spans="1:18" ht="15.75">
      <c r="A9" s="4"/>
      <c r="B9" s="8" t="s">
        <v>17</v>
      </c>
      <c r="C9" s="9">
        <v>4</v>
      </c>
      <c r="D9" s="9">
        <v>5</v>
      </c>
      <c r="E9" s="9">
        <v>4</v>
      </c>
      <c r="F9" s="9">
        <v>5</v>
      </c>
      <c r="G9" s="9">
        <v>4</v>
      </c>
      <c r="H9" s="9">
        <v>5</v>
      </c>
      <c r="I9" s="9">
        <v>4</v>
      </c>
      <c r="J9" s="9">
        <v>5</v>
      </c>
      <c r="K9" s="9">
        <v>5</v>
      </c>
      <c r="L9" s="9">
        <v>7</v>
      </c>
      <c r="M9" s="9">
        <v>4</v>
      </c>
      <c r="N9" s="9">
        <v>6</v>
      </c>
      <c r="O9" s="9">
        <v>6</v>
      </c>
      <c r="P9" s="9">
        <v>3</v>
      </c>
      <c r="Q9" s="9">
        <v>5</v>
      </c>
      <c r="R9" s="9">
        <v>4</v>
      </c>
    </row>
    <row r="10" spans="1:18" ht="15.75">
      <c r="A10" s="4"/>
      <c r="B10" s="10" t="s">
        <v>19</v>
      </c>
      <c r="C10" s="9">
        <v>6</v>
      </c>
      <c r="D10" s="9">
        <v>10</v>
      </c>
      <c r="E10" s="9">
        <v>6</v>
      </c>
      <c r="F10" s="9">
        <v>9</v>
      </c>
      <c r="G10" s="9">
        <v>9</v>
      </c>
      <c r="H10" s="9">
        <v>11</v>
      </c>
      <c r="I10" s="9">
        <v>9</v>
      </c>
      <c r="J10" s="9">
        <v>21</v>
      </c>
      <c r="K10" s="9">
        <v>11</v>
      </c>
      <c r="L10" s="9">
        <v>21</v>
      </c>
      <c r="M10" s="9">
        <v>11</v>
      </c>
      <c r="N10" s="9">
        <v>30</v>
      </c>
      <c r="O10" s="9">
        <v>14</v>
      </c>
      <c r="P10" s="9">
        <v>62</v>
      </c>
      <c r="Q10" s="9">
        <v>21</v>
      </c>
      <c r="R10" s="9">
        <v>54</v>
      </c>
    </row>
    <row r="11" spans="1:18" ht="15.75">
      <c r="A11" s="19"/>
      <c r="B11" s="10" t="s">
        <v>20</v>
      </c>
      <c r="C11" s="9">
        <v>2</v>
      </c>
      <c r="D11" s="9">
        <v>5</v>
      </c>
      <c r="E11" s="9">
        <v>4</v>
      </c>
      <c r="F11" s="9">
        <v>5</v>
      </c>
      <c r="G11" s="9">
        <v>3</v>
      </c>
      <c r="H11" s="9">
        <v>9</v>
      </c>
      <c r="I11" s="9">
        <v>4</v>
      </c>
      <c r="J11" s="9">
        <v>12</v>
      </c>
      <c r="K11" s="9">
        <v>4</v>
      </c>
      <c r="L11" s="9">
        <v>13</v>
      </c>
      <c r="M11" s="9">
        <v>4</v>
      </c>
      <c r="N11" s="9">
        <v>21</v>
      </c>
      <c r="O11" s="9">
        <v>4</v>
      </c>
      <c r="P11" s="9">
        <v>54</v>
      </c>
      <c r="Q11" s="9">
        <v>6</v>
      </c>
      <c r="R11" s="9">
        <v>54</v>
      </c>
    </row>
    <row r="12" spans="1:18" ht="15.75">
      <c r="A12" s="4">
        <v>3</v>
      </c>
      <c r="B12" s="11" t="s">
        <v>14</v>
      </c>
      <c r="C12" s="9">
        <v>169</v>
      </c>
      <c r="D12" s="9">
        <v>228</v>
      </c>
      <c r="E12" s="9">
        <v>148</v>
      </c>
      <c r="F12" s="9">
        <v>232</v>
      </c>
      <c r="G12" s="9">
        <v>232</v>
      </c>
      <c r="H12" s="9">
        <v>268</v>
      </c>
      <c r="I12" s="9">
        <v>264</v>
      </c>
      <c r="J12" s="9">
        <v>519</v>
      </c>
      <c r="K12" s="9">
        <v>259</v>
      </c>
      <c r="L12" s="9">
        <v>567</v>
      </c>
      <c r="M12" s="9">
        <v>247</v>
      </c>
      <c r="N12" s="9">
        <v>807</v>
      </c>
      <c r="O12" s="9">
        <v>253</v>
      </c>
      <c r="P12" s="9">
        <v>1397</v>
      </c>
      <c r="Q12" s="9">
        <v>322</v>
      </c>
      <c r="R12" s="9">
        <v>1273</v>
      </c>
    </row>
    <row r="13" spans="1:18" ht="15.75">
      <c r="A13" s="4"/>
      <c r="B13" s="8" t="s">
        <v>39</v>
      </c>
      <c r="C13" s="9">
        <v>52</v>
      </c>
      <c r="D13" s="9">
        <v>65</v>
      </c>
      <c r="E13" s="9">
        <v>48</v>
      </c>
      <c r="F13" s="9">
        <v>65</v>
      </c>
      <c r="G13" s="9">
        <v>52</v>
      </c>
      <c r="H13" s="9">
        <v>61</v>
      </c>
      <c r="I13" s="9">
        <v>51</v>
      </c>
      <c r="J13" s="9">
        <v>82</v>
      </c>
      <c r="K13" s="9">
        <v>51</v>
      </c>
      <c r="L13" s="9">
        <v>86</v>
      </c>
      <c r="M13" s="9">
        <v>47</v>
      </c>
      <c r="N13" s="9">
        <v>74</v>
      </c>
      <c r="O13" s="9">
        <v>75</v>
      </c>
      <c r="P13" s="9">
        <v>50</v>
      </c>
      <c r="Q13" s="9">
        <v>109</v>
      </c>
      <c r="R13" s="9">
        <v>35</v>
      </c>
    </row>
    <row r="14" spans="1:18" ht="15.75">
      <c r="A14" s="4"/>
      <c r="B14" s="10" t="s">
        <v>21</v>
      </c>
      <c r="C14" s="9">
        <v>117</v>
      </c>
      <c r="D14" s="9">
        <v>163</v>
      </c>
      <c r="E14" s="9">
        <v>100</v>
      </c>
      <c r="F14" s="9">
        <v>167</v>
      </c>
      <c r="G14" s="9">
        <v>180</v>
      </c>
      <c r="H14" s="9">
        <v>207</v>
      </c>
      <c r="I14" s="9">
        <v>213</v>
      </c>
      <c r="J14" s="9">
        <v>437</v>
      </c>
      <c r="K14" s="9">
        <v>208</v>
      </c>
      <c r="L14" s="9">
        <v>481</v>
      </c>
      <c r="M14" s="9">
        <v>200</v>
      </c>
      <c r="N14" s="9">
        <v>733</v>
      </c>
      <c r="O14" s="9">
        <v>178</v>
      </c>
      <c r="P14" s="9">
        <v>1347</v>
      </c>
      <c r="Q14" s="9">
        <v>213</v>
      </c>
      <c r="R14" s="9">
        <v>1238</v>
      </c>
    </row>
    <row r="15" spans="1:18" ht="15.75">
      <c r="A15" s="19"/>
      <c r="B15" s="10" t="s">
        <v>22</v>
      </c>
      <c r="C15" s="9">
        <v>42</v>
      </c>
      <c r="D15" s="9">
        <v>96</v>
      </c>
      <c r="E15" s="9">
        <v>86</v>
      </c>
      <c r="F15" s="9">
        <v>94</v>
      </c>
      <c r="G15" s="9">
        <v>60</v>
      </c>
      <c r="H15" s="9">
        <v>192</v>
      </c>
      <c r="I15" s="9">
        <v>82</v>
      </c>
      <c r="J15" s="9">
        <v>392</v>
      </c>
      <c r="K15" s="9">
        <v>85</v>
      </c>
      <c r="L15" s="9">
        <v>293</v>
      </c>
      <c r="M15" s="9">
        <v>85</v>
      </c>
      <c r="N15" s="9">
        <v>460</v>
      </c>
      <c r="O15" s="9">
        <v>82</v>
      </c>
      <c r="P15" s="9">
        <v>941</v>
      </c>
      <c r="Q15" s="9">
        <v>123</v>
      </c>
      <c r="R15" s="9">
        <v>836</v>
      </c>
    </row>
    <row r="16" spans="1:18">
      <c r="A16" s="4">
        <v>4</v>
      </c>
      <c r="B16" s="11" t="s">
        <v>15</v>
      </c>
      <c r="C16" s="12">
        <v>19</v>
      </c>
      <c r="D16" s="12">
        <v>15</v>
      </c>
      <c r="E16" s="12">
        <v>19</v>
      </c>
      <c r="F16" s="12">
        <v>14</v>
      </c>
      <c r="G16" s="12">
        <v>24</v>
      </c>
      <c r="H16" s="12">
        <v>16</v>
      </c>
      <c r="I16" s="12">
        <v>21</v>
      </c>
      <c r="J16" s="12">
        <v>26</v>
      </c>
      <c r="K16" s="12">
        <v>30</v>
      </c>
      <c r="L16" s="12">
        <v>28</v>
      </c>
      <c r="M16" s="12">
        <v>38</v>
      </c>
      <c r="N16" s="12">
        <v>36</v>
      </c>
      <c r="O16" s="12">
        <v>53</v>
      </c>
      <c r="P16" s="12">
        <v>65</v>
      </c>
      <c r="Q16" s="12">
        <v>58</v>
      </c>
      <c r="R16" s="12">
        <v>69</v>
      </c>
    </row>
    <row r="17" spans="1:18" ht="15.75">
      <c r="A17" s="4"/>
      <c r="B17" s="8" t="s">
        <v>38</v>
      </c>
      <c r="C17" s="9">
        <v>3</v>
      </c>
      <c r="D17" s="9"/>
      <c r="E17" s="9">
        <v>5</v>
      </c>
      <c r="F17" s="9"/>
      <c r="G17" s="9">
        <v>5</v>
      </c>
      <c r="H17" s="9"/>
      <c r="I17" s="9">
        <v>5</v>
      </c>
      <c r="J17" s="9"/>
      <c r="K17" s="9">
        <v>5</v>
      </c>
      <c r="L17" s="9"/>
      <c r="M17" s="9">
        <v>6</v>
      </c>
      <c r="N17" s="9"/>
      <c r="O17" s="9">
        <v>6</v>
      </c>
      <c r="P17" s="9"/>
      <c r="Q17" s="9">
        <v>9</v>
      </c>
      <c r="R17" s="9"/>
    </row>
    <row r="18" spans="1:18" ht="15.75">
      <c r="A18" s="4"/>
      <c r="B18" s="10" t="s">
        <v>23</v>
      </c>
      <c r="C18" s="14">
        <v>16</v>
      </c>
      <c r="D18" s="14">
        <v>15</v>
      </c>
      <c r="E18" s="14">
        <v>14</v>
      </c>
      <c r="F18" s="14">
        <v>14</v>
      </c>
      <c r="G18" s="14">
        <v>18</v>
      </c>
      <c r="H18" s="14">
        <v>16</v>
      </c>
      <c r="I18" s="14">
        <v>15</v>
      </c>
      <c r="J18" s="14">
        <v>26</v>
      </c>
      <c r="K18" s="14">
        <v>24</v>
      </c>
      <c r="L18" s="14">
        <v>28</v>
      </c>
      <c r="M18" s="14">
        <v>30</v>
      </c>
      <c r="N18" s="14">
        <v>36</v>
      </c>
      <c r="O18" s="14">
        <v>44</v>
      </c>
      <c r="P18" s="14">
        <v>65</v>
      </c>
      <c r="Q18" s="9">
        <v>42</v>
      </c>
      <c r="R18" s="9">
        <v>69</v>
      </c>
    </row>
    <row r="19" spans="1:18" ht="15.75">
      <c r="A19" s="4"/>
      <c r="B19" s="10" t="s">
        <v>24</v>
      </c>
      <c r="C19" s="14">
        <v>5</v>
      </c>
      <c r="D19" s="9">
        <v>5</v>
      </c>
      <c r="E19" s="9">
        <v>5</v>
      </c>
      <c r="F19" s="9">
        <v>5</v>
      </c>
      <c r="G19" s="9">
        <v>5</v>
      </c>
      <c r="H19" s="9">
        <v>5</v>
      </c>
      <c r="I19" s="9">
        <v>4</v>
      </c>
      <c r="J19" s="9">
        <v>5</v>
      </c>
      <c r="K19" s="9">
        <v>5</v>
      </c>
      <c r="L19" s="9">
        <v>7</v>
      </c>
      <c r="M19" s="9">
        <v>5</v>
      </c>
      <c r="N19" s="9">
        <v>6</v>
      </c>
      <c r="O19" s="9">
        <v>9</v>
      </c>
      <c r="P19" s="9">
        <v>3</v>
      </c>
      <c r="Q19" s="9">
        <v>15</v>
      </c>
      <c r="R19" s="9">
        <v>4</v>
      </c>
    </row>
    <row r="20" spans="1:18" ht="15.75">
      <c r="A20" s="4"/>
      <c r="B20" s="10" t="s">
        <v>25</v>
      </c>
      <c r="C20" s="14">
        <v>11</v>
      </c>
      <c r="D20" s="9">
        <v>10</v>
      </c>
      <c r="E20" s="9">
        <v>9</v>
      </c>
      <c r="F20" s="9">
        <v>9</v>
      </c>
      <c r="G20" s="9">
        <v>13</v>
      </c>
      <c r="H20" s="9">
        <v>11</v>
      </c>
      <c r="I20" s="9">
        <v>11</v>
      </c>
      <c r="J20" s="9">
        <v>21</v>
      </c>
      <c r="K20" s="9">
        <v>19</v>
      </c>
      <c r="L20" s="9">
        <v>21</v>
      </c>
      <c r="M20" s="9">
        <v>25</v>
      </c>
      <c r="N20" s="9">
        <v>30</v>
      </c>
      <c r="O20" s="9">
        <v>35</v>
      </c>
      <c r="P20" s="9">
        <v>62</v>
      </c>
      <c r="Q20" s="9">
        <v>27</v>
      </c>
      <c r="R20" s="9">
        <v>65</v>
      </c>
    </row>
    <row r="21" spans="1:18" ht="15.75">
      <c r="A21" s="4"/>
      <c r="B21" s="10" t="s">
        <v>26</v>
      </c>
      <c r="C21" s="14"/>
      <c r="D21" s="14"/>
      <c r="E21" s="14"/>
      <c r="F21" s="14"/>
      <c r="G21" s="14"/>
      <c r="H21" s="14"/>
      <c r="I21" s="14"/>
      <c r="J21" s="14"/>
      <c r="K21" s="14">
        <v>24</v>
      </c>
      <c r="L21" s="14">
        <v>28</v>
      </c>
      <c r="M21" s="14"/>
      <c r="N21" s="14"/>
      <c r="O21" s="14">
        <v>44</v>
      </c>
      <c r="P21" s="14">
        <v>65</v>
      </c>
      <c r="Q21" s="9"/>
      <c r="R21" s="9"/>
    </row>
    <row r="22" spans="1:18" ht="15.75">
      <c r="A22" s="19"/>
      <c r="B22" s="10" t="s">
        <v>27</v>
      </c>
      <c r="C22" s="9"/>
      <c r="D22" s="9"/>
      <c r="E22" s="9"/>
      <c r="F22" s="9"/>
      <c r="G22" s="9">
        <v>1</v>
      </c>
      <c r="H22" s="9"/>
      <c r="I22" s="9">
        <v>1</v>
      </c>
      <c r="J22" s="9"/>
      <c r="K22" s="9">
        <v>1</v>
      </c>
      <c r="L22" s="9"/>
      <c r="M22" s="9">
        <v>2</v>
      </c>
      <c r="N22" s="9"/>
      <c r="O22" s="9">
        <v>3</v>
      </c>
      <c r="P22" s="9"/>
      <c r="Q22" s="9">
        <v>7</v>
      </c>
      <c r="R22" s="9"/>
    </row>
    <row r="23" spans="1:18" ht="15.75">
      <c r="A23" s="4">
        <v>5</v>
      </c>
      <c r="B23" s="11" t="s">
        <v>41</v>
      </c>
      <c r="C23" s="9">
        <v>10</v>
      </c>
      <c r="D23" s="9">
        <v>15</v>
      </c>
      <c r="E23" s="9">
        <v>10</v>
      </c>
      <c r="F23" s="9">
        <v>14</v>
      </c>
      <c r="G23" s="9">
        <v>20</v>
      </c>
      <c r="H23" s="9">
        <v>16</v>
      </c>
      <c r="I23" s="9">
        <v>15</v>
      </c>
      <c r="J23" s="9">
        <v>26</v>
      </c>
      <c r="K23" s="9">
        <v>25</v>
      </c>
      <c r="L23" s="9">
        <v>28</v>
      </c>
      <c r="M23" s="9">
        <v>25</v>
      </c>
      <c r="N23" s="9">
        <v>36</v>
      </c>
      <c r="O23" s="9">
        <v>25</v>
      </c>
      <c r="P23" s="9">
        <v>65</v>
      </c>
      <c r="Q23" s="9">
        <v>30</v>
      </c>
      <c r="R23" s="9">
        <v>58</v>
      </c>
    </row>
    <row r="24" spans="1:18" ht="15.75">
      <c r="A24" s="4"/>
      <c r="B24" s="8" t="s">
        <v>37</v>
      </c>
      <c r="C24" s="9"/>
      <c r="D24" s="9"/>
      <c r="E24" s="9"/>
      <c r="F24" s="9"/>
      <c r="G24" s="9">
        <v>3</v>
      </c>
      <c r="H24" s="9"/>
      <c r="I24" s="9"/>
      <c r="J24" s="9"/>
      <c r="K24" s="9">
        <v>3</v>
      </c>
      <c r="L24" s="9"/>
      <c r="M24" s="9">
        <v>3</v>
      </c>
      <c r="N24" s="9"/>
      <c r="O24" s="9">
        <v>3</v>
      </c>
      <c r="P24" s="9"/>
      <c r="Q24" s="9">
        <v>5</v>
      </c>
      <c r="R24" s="9"/>
    </row>
    <row r="25" spans="1:18" ht="15.75">
      <c r="A25" s="4"/>
      <c r="B25" s="10" t="s">
        <v>35</v>
      </c>
      <c r="C25" s="9"/>
      <c r="D25" s="9"/>
      <c r="E25" s="9"/>
      <c r="F25" s="9"/>
      <c r="G25" s="9">
        <v>15</v>
      </c>
      <c r="H25" s="9"/>
      <c r="I25" s="9"/>
      <c r="J25" s="9"/>
      <c r="K25" s="9">
        <v>20</v>
      </c>
      <c r="L25" s="9"/>
      <c r="M25" s="9">
        <v>20</v>
      </c>
      <c r="N25" s="9"/>
      <c r="O25" s="9">
        <v>20</v>
      </c>
      <c r="P25" s="9"/>
      <c r="Q25" s="9">
        <v>20</v>
      </c>
      <c r="R25" s="9">
        <v>0</v>
      </c>
    </row>
    <row r="26" spans="1:18" ht="15.75">
      <c r="A26" s="4"/>
      <c r="B26" s="10" t="s">
        <v>36</v>
      </c>
      <c r="C26" s="9">
        <v>10</v>
      </c>
      <c r="D26" s="9">
        <v>15</v>
      </c>
      <c r="E26" s="9">
        <v>10</v>
      </c>
      <c r="F26" s="9">
        <v>14</v>
      </c>
      <c r="G26" s="9"/>
      <c r="H26" s="9">
        <v>16</v>
      </c>
      <c r="I26" s="9">
        <v>13</v>
      </c>
      <c r="J26" s="9">
        <v>26</v>
      </c>
      <c r="K26" s="9"/>
      <c r="L26" s="9">
        <v>28</v>
      </c>
      <c r="M26" s="9"/>
      <c r="N26" s="9">
        <v>36</v>
      </c>
      <c r="O26" s="9"/>
      <c r="P26" s="9">
        <v>65</v>
      </c>
      <c r="Q26" s="9">
        <v>1</v>
      </c>
      <c r="R26" s="9">
        <v>58</v>
      </c>
    </row>
    <row r="27" spans="1:18" ht="15.75">
      <c r="A27" s="19"/>
      <c r="B27" s="8" t="s">
        <v>28</v>
      </c>
      <c r="C27" s="9"/>
      <c r="D27" s="9"/>
      <c r="E27" s="9"/>
      <c r="F27" s="9"/>
      <c r="G27" s="9">
        <v>2</v>
      </c>
      <c r="H27" s="9"/>
      <c r="I27" s="9">
        <v>2</v>
      </c>
      <c r="J27" s="9"/>
      <c r="K27" s="9">
        <v>2</v>
      </c>
      <c r="L27" s="9"/>
      <c r="M27" s="9">
        <v>2</v>
      </c>
      <c r="N27" s="9"/>
      <c r="O27" s="9">
        <v>2</v>
      </c>
      <c r="P27" s="9"/>
      <c r="Q27" s="9">
        <v>4</v>
      </c>
      <c r="R27" s="9"/>
    </row>
    <row r="28" spans="1:18" ht="15.75">
      <c r="A28" s="4">
        <v>6</v>
      </c>
      <c r="B28" s="11" t="s">
        <v>42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ht="15.75">
      <c r="A29" s="4"/>
      <c r="B29" s="15" t="s">
        <v>29</v>
      </c>
      <c r="C29" s="16">
        <v>16.899999999999999</v>
      </c>
      <c r="D29" s="16">
        <v>15.2</v>
      </c>
      <c r="E29" s="16">
        <v>14.8</v>
      </c>
      <c r="F29" s="16">
        <v>16.571428571428573</v>
      </c>
      <c r="G29" s="16">
        <v>17.846153846153847</v>
      </c>
      <c r="H29" s="16">
        <v>16.75</v>
      </c>
      <c r="I29" s="16">
        <v>20.307692307692307</v>
      </c>
      <c r="J29" s="16">
        <v>19.96153846153846</v>
      </c>
      <c r="K29" s="16">
        <v>16.1875</v>
      </c>
      <c r="L29" s="16">
        <v>20.25</v>
      </c>
      <c r="M29" s="16">
        <v>16.466666666666665</v>
      </c>
      <c r="N29" s="16">
        <v>22.416666666666668</v>
      </c>
      <c r="O29" s="16">
        <v>12.65</v>
      </c>
      <c r="P29" s="16">
        <v>21.492307692307691</v>
      </c>
      <c r="Q29" s="16">
        <v>12.384615384615385</v>
      </c>
      <c r="R29" s="16">
        <v>21.948275862068964</v>
      </c>
    </row>
    <row r="30" spans="1:18" ht="15.75">
      <c r="A30" s="4"/>
      <c r="B30" s="15" t="s">
        <v>30</v>
      </c>
      <c r="C30" s="16">
        <v>1.6</v>
      </c>
      <c r="D30" s="16">
        <v>1</v>
      </c>
      <c r="E30" s="16">
        <v>1.4</v>
      </c>
      <c r="F30" s="16">
        <v>1</v>
      </c>
      <c r="G30" s="16">
        <v>1.3846153846153846</v>
      </c>
      <c r="H30" s="16">
        <v>1</v>
      </c>
      <c r="I30" s="16">
        <v>1.1538461538461537</v>
      </c>
      <c r="J30" s="16">
        <v>1</v>
      </c>
      <c r="K30" s="16">
        <v>1.5</v>
      </c>
      <c r="L30" s="16">
        <v>1</v>
      </c>
      <c r="M30" s="16">
        <v>2</v>
      </c>
      <c r="N30" s="16">
        <v>1</v>
      </c>
      <c r="O30" s="16">
        <v>2.2000000000000002</v>
      </c>
      <c r="P30" s="16">
        <v>1</v>
      </c>
      <c r="Q30" s="16">
        <v>1.6153846153846154</v>
      </c>
      <c r="R30" s="16">
        <v>1.1896551724137931</v>
      </c>
    </row>
    <row r="31" spans="1:18" ht="15.75">
      <c r="A31" s="4"/>
      <c r="B31" s="15" t="s">
        <v>31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ht="15.75">
      <c r="A32" s="4"/>
      <c r="B32" s="15" t="s">
        <v>32</v>
      </c>
      <c r="C32" s="9">
        <v>5</v>
      </c>
      <c r="D32" s="9">
        <v>2.1</v>
      </c>
      <c r="E32" s="9">
        <v>6</v>
      </c>
      <c r="F32" s="9">
        <v>2.2000000000000002</v>
      </c>
      <c r="G32" s="9">
        <v>7</v>
      </c>
      <c r="H32" s="9">
        <v>2.5</v>
      </c>
      <c r="I32" s="9">
        <v>8</v>
      </c>
      <c r="J32" s="9">
        <v>2.5</v>
      </c>
      <c r="K32" s="9">
        <v>9</v>
      </c>
      <c r="L32" s="9">
        <v>2.6</v>
      </c>
      <c r="M32" s="9">
        <v>10</v>
      </c>
      <c r="N32" s="9">
        <v>3.1</v>
      </c>
      <c r="O32" s="9">
        <v>11</v>
      </c>
      <c r="P32" s="9">
        <v>3.1</v>
      </c>
      <c r="Q32" s="9">
        <v>19.252336448598133</v>
      </c>
      <c r="R32" s="9">
        <v>19.761129207383277</v>
      </c>
    </row>
    <row r="33" spans="1:18" ht="15.75">
      <c r="A33" s="4"/>
      <c r="B33" s="15" t="s">
        <v>33</v>
      </c>
      <c r="C33" s="9">
        <v>10</v>
      </c>
      <c r="D33" s="9">
        <v>2.5</v>
      </c>
      <c r="E33" s="9">
        <v>12</v>
      </c>
      <c r="F33" s="9">
        <v>3.5</v>
      </c>
      <c r="G33" s="9">
        <v>13</v>
      </c>
      <c r="H33" s="9">
        <v>3.5</v>
      </c>
      <c r="I33" s="9">
        <v>20</v>
      </c>
      <c r="J33" s="9">
        <v>5</v>
      </c>
      <c r="K33" s="9">
        <v>30</v>
      </c>
      <c r="L33" s="9">
        <v>10</v>
      </c>
      <c r="M33" s="9">
        <v>40</v>
      </c>
      <c r="N33" s="9">
        <v>16</v>
      </c>
      <c r="O33" s="9">
        <v>50</v>
      </c>
      <c r="P33" s="9">
        <v>22</v>
      </c>
      <c r="Q33" s="9">
        <v>54.197530864197532</v>
      </c>
      <c r="R33" s="9">
        <v>47.590361445783131</v>
      </c>
    </row>
    <row r="34" spans="1:18" ht="15.75">
      <c r="A34" s="5"/>
      <c r="B34" s="17" t="s">
        <v>34</v>
      </c>
      <c r="C34" s="18">
        <v>13</v>
      </c>
      <c r="D34" s="18">
        <v>1.8</v>
      </c>
      <c r="E34" s="18">
        <v>15</v>
      </c>
      <c r="F34" s="18">
        <v>2.2000000000000002</v>
      </c>
      <c r="G34" s="18">
        <v>16</v>
      </c>
      <c r="H34" s="18">
        <v>2.6</v>
      </c>
      <c r="I34" s="18">
        <v>50</v>
      </c>
      <c r="J34" s="18">
        <v>23</v>
      </c>
      <c r="K34" s="18">
        <v>55</v>
      </c>
      <c r="L34" s="18">
        <v>3</v>
      </c>
      <c r="M34" s="18">
        <v>60</v>
      </c>
      <c r="N34" s="18">
        <v>30</v>
      </c>
      <c r="O34" s="18">
        <v>82</v>
      </c>
      <c r="P34" s="18">
        <v>64</v>
      </c>
      <c r="Q34" s="18">
        <v>84.550561797752806</v>
      </c>
      <c r="R34" s="18">
        <v>74</v>
      </c>
    </row>
  </sheetData>
  <mergeCells count="10">
    <mergeCell ref="A2:A3"/>
    <mergeCell ref="B2:B3"/>
    <mergeCell ref="C2:D2"/>
    <mergeCell ref="E2:F2"/>
    <mergeCell ref="O2:P2"/>
    <mergeCell ref="Q2:R2"/>
    <mergeCell ref="G2:H2"/>
    <mergeCell ref="I2:J2"/>
    <mergeCell ref="K2:L2"/>
    <mergeCell ref="M2:N2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10</vt:i4>
      </vt:variant>
    </vt:vector>
  </HeadingPairs>
  <TitlesOfParts>
    <vt:vector size="32" baseType="lpstr">
      <vt:lpstr>TP</vt:lpstr>
      <vt:lpstr>DB</vt:lpstr>
      <vt:lpstr>DBD</vt:lpstr>
      <vt:lpstr>TX</vt:lpstr>
      <vt:lpstr>MC</vt:lpstr>
      <vt:lpstr>MN</vt:lpstr>
      <vt:lpstr>MA</vt:lpstr>
      <vt:lpstr>TG</vt:lpstr>
      <vt:lpstr>TC</vt:lpstr>
      <vt:lpstr>TINH</vt:lpstr>
      <vt:lpstr>TIỂU HỌC</vt:lpstr>
      <vt:lpstr>MẦM NON</vt:lpstr>
      <vt:lpstr>KP</vt:lpstr>
      <vt:lpstr>Mam non</vt:lpstr>
      <vt:lpstr>Tieu hoc</vt:lpstr>
      <vt:lpstr>THCS</vt:lpstr>
      <vt:lpstr>THPT</vt:lpstr>
      <vt:lpstr>Trung tam</vt:lpstr>
      <vt:lpstr>CĐ</vt:lpstr>
      <vt:lpstr>Danh sach truong moi</vt:lpstr>
      <vt:lpstr>Tam</vt:lpstr>
      <vt:lpstr>IN</vt:lpstr>
      <vt:lpstr>'Mam non'!Print_Area</vt:lpstr>
      <vt:lpstr>THCS!Print_Area</vt:lpstr>
      <vt:lpstr>'Tieu hoc'!Print_Area</vt:lpstr>
      <vt:lpstr>'Trung tam'!Print_Area</vt:lpstr>
      <vt:lpstr>'Danh sach truong moi'!Print_Titles</vt:lpstr>
      <vt:lpstr>'Mam non'!Print_Titles</vt:lpstr>
      <vt:lpstr>THCS!Print_Titles</vt:lpstr>
      <vt:lpstr>THPT!Print_Titles</vt:lpstr>
      <vt:lpstr>'Tieu hoc'!Print_Titles</vt:lpstr>
      <vt:lpstr>'Trung tam'!Print_Titles</vt:lpstr>
    </vt:vector>
  </TitlesOfParts>
  <Company>QA Co..,ltd.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 Computer</dc:creator>
  <cp:lastModifiedBy>Admin</cp:lastModifiedBy>
  <cp:lastPrinted>2022-02-21T08:38:05Z</cp:lastPrinted>
  <dcterms:created xsi:type="dcterms:W3CDTF">2008-05-13T08:55:41Z</dcterms:created>
  <dcterms:modified xsi:type="dcterms:W3CDTF">2022-02-21T09:45:48Z</dcterms:modified>
</cp:coreProperties>
</file>